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amp\jaguar_vdb\vdb2\vdb\excel\"/>
    </mc:Choice>
  </mc:AlternateContent>
  <xr:revisionPtr revIDLastSave="0" documentId="13_ncr:1_{0640C2A4-D49D-4EF5-9978-944D0B9C04C2}" xr6:coauthVersionLast="47" xr6:coauthVersionMax="47" xr10:uidLastSave="{00000000-0000-0000-0000-000000000000}"/>
  <bookViews>
    <workbookView xWindow="-120" yWindow="-120" windowWidth="24240" windowHeight="13140" tabRatio="853" activeTab="1" xr2:uid="{00000000-000D-0000-FFFF-FFFF00000000}"/>
  </bookViews>
  <sheets>
    <sheet name="r-zeta (2)" sheetId="13" r:id="rId1"/>
    <sheet name="rzeta_targetnu_dips_mid" sheetId="14" r:id="rId2"/>
    <sheet name="r-zeta" sheetId="12" r:id="rId3"/>
    <sheet name="curve_rzeta_targetnu_2.5" sheetId="1" r:id="rId4"/>
    <sheet name="curve_rzeta_targetnu_add_2.5" sheetId="5" r:id="rId5"/>
    <sheet name="curve_rzeta_targetnu (2)" sheetId="8" r:id="rId6"/>
    <sheet name="curve_rzeta_targetnu_add_dr (2)" sheetId="9" r:id="rId7"/>
    <sheet name="old_linear_rzeta_targetnu" sheetId="4" r:id="rId8"/>
    <sheet name="Sheet2" sheetId="2" r:id="rId9"/>
    <sheet name="Sheet3" sheetId="3" r:id="rId10"/>
  </sheets>
  <definedNames>
    <definedName name="_xlnm.Print_Area" localSheetId="5">'curve_rzeta_targetnu (2)'!$F$168:$R$185</definedName>
    <definedName name="_xlnm.Print_Area" localSheetId="3">'curve_rzeta_targetnu_2.5'!$F$307:$R$325</definedName>
    <definedName name="_xlnm.Print_Area" localSheetId="4">'curve_rzeta_targetnu_add_2.5'!$F$229:$L$276</definedName>
    <definedName name="_xlnm.Print_Area" localSheetId="6">'curve_rzeta_targetnu_add_dr (2)'!$F$30:$L$46</definedName>
    <definedName name="_xlnm.Print_Area" localSheetId="7">old_linear_rzeta_targetnu!$A$21:$L$78</definedName>
    <definedName name="_xlnm.Print_Area" localSheetId="1">rzeta_targetnu_dips_mid!$F$315:$R$333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4" i="14" l="1"/>
  <c r="T352" i="14"/>
  <c r="T351" i="14"/>
  <c r="T350" i="14"/>
  <c r="T349" i="14"/>
  <c r="T348" i="14"/>
  <c r="T347" i="14"/>
  <c r="T346" i="14"/>
  <c r="T345" i="14"/>
  <c r="T344" i="14"/>
  <c r="T343" i="14"/>
  <c r="T342" i="14"/>
  <c r="T341" i="14"/>
  <c r="W340" i="14"/>
  <c r="W352" i="14" s="1"/>
  <c r="M335" i="14"/>
  <c r="M334" i="14"/>
  <c r="T333" i="14"/>
  <c r="F333" i="14"/>
  <c r="E333" i="14"/>
  <c r="D333" i="14"/>
  <c r="T332" i="14"/>
  <c r="F332" i="14"/>
  <c r="E332" i="14"/>
  <c r="D332" i="14"/>
  <c r="T331" i="14"/>
  <c r="F331" i="14"/>
  <c r="E331" i="14"/>
  <c r="D331" i="14"/>
  <c r="T330" i="14"/>
  <c r="F330" i="14"/>
  <c r="E330" i="14"/>
  <c r="D330" i="14"/>
  <c r="T329" i="14"/>
  <c r="F329" i="14"/>
  <c r="E329" i="14"/>
  <c r="D329" i="14"/>
  <c r="T328" i="14"/>
  <c r="F328" i="14"/>
  <c r="E328" i="14"/>
  <c r="D328" i="14"/>
  <c r="T327" i="14"/>
  <c r="F327" i="14"/>
  <c r="E327" i="14"/>
  <c r="D327" i="14"/>
  <c r="T326" i="14"/>
  <c r="F326" i="14"/>
  <c r="E326" i="14"/>
  <c r="D326" i="14"/>
  <c r="T325" i="14"/>
  <c r="F325" i="14"/>
  <c r="E325" i="14"/>
  <c r="D325" i="14"/>
  <c r="T324" i="14"/>
  <c r="F324" i="14"/>
  <c r="E324" i="14"/>
  <c r="D324" i="14"/>
  <c r="T323" i="14"/>
  <c r="F323" i="14"/>
  <c r="E323" i="14"/>
  <c r="D323" i="14"/>
  <c r="T322" i="14"/>
  <c r="F322" i="14"/>
  <c r="D322" i="14"/>
  <c r="M321" i="14"/>
  <c r="M312" i="14"/>
  <c r="AA309" i="14"/>
  <c r="B309" i="14"/>
  <c r="N309" i="14" s="1"/>
  <c r="N311" i="14" s="1"/>
  <c r="AA308" i="14"/>
  <c r="AA307" i="14"/>
  <c r="AA306" i="14"/>
  <c r="T297" i="14"/>
  <c r="T296" i="14"/>
  <c r="T295" i="14"/>
  <c r="T294" i="14"/>
  <c r="T293" i="14"/>
  <c r="T292" i="14"/>
  <c r="T291" i="14"/>
  <c r="T290" i="14"/>
  <c r="T289" i="14"/>
  <c r="T288" i="14"/>
  <c r="T287" i="14"/>
  <c r="T286" i="14"/>
  <c r="W285" i="14"/>
  <c r="W295" i="14" s="1"/>
  <c r="M280" i="14"/>
  <c r="M279" i="14"/>
  <c r="T278" i="14"/>
  <c r="F278" i="14"/>
  <c r="E278" i="14"/>
  <c r="D278" i="14"/>
  <c r="T277" i="14"/>
  <c r="F277" i="14"/>
  <c r="E277" i="14"/>
  <c r="D277" i="14"/>
  <c r="T276" i="14"/>
  <c r="F276" i="14"/>
  <c r="E276" i="14"/>
  <c r="D276" i="14"/>
  <c r="T275" i="14"/>
  <c r="F275" i="14"/>
  <c r="E275" i="14"/>
  <c r="D275" i="14"/>
  <c r="T274" i="14"/>
  <c r="F274" i="14"/>
  <c r="E274" i="14"/>
  <c r="D274" i="14"/>
  <c r="T273" i="14"/>
  <c r="F273" i="14"/>
  <c r="E273" i="14"/>
  <c r="D273" i="14"/>
  <c r="T272" i="14"/>
  <c r="F272" i="14"/>
  <c r="E272" i="14"/>
  <c r="D272" i="14"/>
  <c r="T271" i="14"/>
  <c r="F271" i="14"/>
  <c r="E271" i="14"/>
  <c r="D271" i="14"/>
  <c r="T270" i="14"/>
  <c r="F270" i="14"/>
  <c r="E270" i="14"/>
  <c r="D270" i="14"/>
  <c r="T269" i="14"/>
  <c r="F269" i="14"/>
  <c r="E269" i="14"/>
  <c r="D269" i="14"/>
  <c r="T268" i="14"/>
  <c r="F268" i="14"/>
  <c r="E268" i="14"/>
  <c r="D268" i="14"/>
  <c r="T267" i="14"/>
  <c r="F267" i="14"/>
  <c r="E267" i="14"/>
  <c r="D267" i="14"/>
  <c r="M266" i="14"/>
  <c r="E322" i="14" s="1"/>
  <c r="M257" i="14"/>
  <c r="B254" i="14"/>
  <c r="B255" i="14" s="1"/>
  <c r="O254" i="14" s="1"/>
  <c r="O256" i="14" s="1"/>
  <c r="T241" i="14"/>
  <c r="T240" i="14"/>
  <c r="T239" i="14"/>
  <c r="T238" i="14"/>
  <c r="T237" i="14"/>
  <c r="T236" i="14"/>
  <c r="T235" i="14"/>
  <c r="T234" i="14"/>
  <c r="T233" i="14"/>
  <c r="T232" i="14"/>
  <c r="T231" i="14"/>
  <c r="T230" i="14"/>
  <c r="W229" i="14"/>
  <c r="W239" i="14" s="1"/>
  <c r="M224" i="14"/>
  <c r="M223" i="14"/>
  <c r="T222" i="14"/>
  <c r="F222" i="14"/>
  <c r="E222" i="14"/>
  <c r="D222" i="14"/>
  <c r="T221" i="14"/>
  <c r="F221" i="14"/>
  <c r="E221" i="14"/>
  <c r="D221" i="14"/>
  <c r="T220" i="14"/>
  <c r="F220" i="14"/>
  <c r="E220" i="14"/>
  <c r="D220" i="14"/>
  <c r="T219" i="14"/>
  <c r="F219" i="14"/>
  <c r="E219" i="14"/>
  <c r="D219" i="14"/>
  <c r="T218" i="14"/>
  <c r="F218" i="14"/>
  <c r="E218" i="14"/>
  <c r="D218" i="14"/>
  <c r="T217" i="14"/>
  <c r="F217" i="14"/>
  <c r="E217" i="14"/>
  <c r="D217" i="14"/>
  <c r="T216" i="14"/>
  <c r="F216" i="14"/>
  <c r="E216" i="14"/>
  <c r="D216" i="14"/>
  <c r="T215" i="14"/>
  <c r="F215" i="14"/>
  <c r="E215" i="14"/>
  <c r="D215" i="14"/>
  <c r="T214" i="14"/>
  <c r="F214" i="14"/>
  <c r="E214" i="14"/>
  <c r="D214" i="14"/>
  <c r="T213" i="14"/>
  <c r="F213" i="14"/>
  <c r="E213" i="14"/>
  <c r="D213" i="14"/>
  <c r="T212" i="14"/>
  <c r="F212" i="14"/>
  <c r="E212" i="14"/>
  <c r="D212" i="14"/>
  <c r="T211" i="14"/>
  <c r="F211" i="14"/>
  <c r="E211" i="14"/>
  <c r="D211" i="14"/>
  <c r="M210" i="14"/>
  <c r="M201" i="14"/>
  <c r="Y198" i="14"/>
  <c r="B198" i="14"/>
  <c r="B199" i="14" s="1"/>
  <c r="Y197" i="14"/>
  <c r="Y196" i="14"/>
  <c r="Y195" i="14"/>
  <c r="Y194" i="14"/>
  <c r="T187" i="14"/>
  <c r="T186" i="14"/>
  <c r="T185" i="14"/>
  <c r="T184" i="14"/>
  <c r="T183" i="14"/>
  <c r="T182" i="14"/>
  <c r="T181" i="14"/>
  <c r="T180" i="14"/>
  <c r="T179" i="14"/>
  <c r="T178" i="14"/>
  <c r="T177" i="14"/>
  <c r="T176" i="14"/>
  <c r="W175" i="14"/>
  <c r="W182" i="14" s="1"/>
  <c r="M170" i="14"/>
  <c r="M169" i="14"/>
  <c r="T168" i="14"/>
  <c r="F168" i="14"/>
  <c r="E168" i="14"/>
  <c r="D168" i="14"/>
  <c r="T167" i="14"/>
  <c r="F167" i="14"/>
  <c r="E167" i="14"/>
  <c r="D167" i="14"/>
  <c r="T166" i="14"/>
  <c r="F166" i="14"/>
  <c r="E166" i="14"/>
  <c r="D166" i="14"/>
  <c r="T165" i="14"/>
  <c r="F165" i="14"/>
  <c r="E165" i="14"/>
  <c r="D165" i="14"/>
  <c r="T164" i="14"/>
  <c r="F164" i="14"/>
  <c r="E164" i="14"/>
  <c r="D164" i="14"/>
  <c r="T163" i="14"/>
  <c r="F163" i="14"/>
  <c r="E163" i="14"/>
  <c r="D163" i="14"/>
  <c r="T162" i="14"/>
  <c r="F162" i="14"/>
  <c r="E162" i="14"/>
  <c r="D162" i="14"/>
  <c r="T161" i="14"/>
  <c r="F161" i="14"/>
  <c r="E161" i="14"/>
  <c r="D161" i="14"/>
  <c r="T160" i="14"/>
  <c r="F160" i="14"/>
  <c r="E160" i="14"/>
  <c r="D160" i="14"/>
  <c r="T159" i="14"/>
  <c r="F159" i="14"/>
  <c r="E159" i="14"/>
  <c r="D159" i="14"/>
  <c r="T158" i="14"/>
  <c r="F158" i="14"/>
  <c r="E158" i="14"/>
  <c r="D158" i="14"/>
  <c r="T157" i="14"/>
  <c r="F157" i="14"/>
  <c r="E157" i="14"/>
  <c r="D157" i="14"/>
  <c r="M156" i="14"/>
  <c r="M147" i="14"/>
  <c r="B144" i="14"/>
  <c r="T132" i="14"/>
  <c r="T131" i="14"/>
  <c r="T130" i="14"/>
  <c r="T129" i="14"/>
  <c r="T128" i="14"/>
  <c r="B128" i="14"/>
  <c r="M351" i="14" s="1"/>
  <c r="T127" i="14"/>
  <c r="T126" i="14"/>
  <c r="T125" i="14"/>
  <c r="T124" i="14"/>
  <c r="T123" i="14"/>
  <c r="T122" i="14"/>
  <c r="T121" i="14"/>
  <c r="M115" i="14"/>
  <c r="M114" i="14"/>
  <c r="T113" i="14"/>
  <c r="S113" i="14"/>
  <c r="F113" i="14"/>
  <c r="E113" i="14"/>
  <c r="D113" i="14"/>
  <c r="T112" i="14"/>
  <c r="S112" i="14"/>
  <c r="F112" i="14"/>
  <c r="E112" i="14"/>
  <c r="D112" i="14"/>
  <c r="T111" i="14"/>
  <c r="S111" i="14"/>
  <c r="F111" i="14"/>
  <c r="E111" i="14"/>
  <c r="D111" i="14"/>
  <c r="T110" i="14"/>
  <c r="S110" i="14"/>
  <c r="F110" i="14"/>
  <c r="E110" i="14"/>
  <c r="D110" i="14"/>
  <c r="T109" i="14"/>
  <c r="S109" i="14"/>
  <c r="F109" i="14"/>
  <c r="E109" i="14"/>
  <c r="D109" i="14"/>
  <c r="T108" i="14"/>
  <c r="S108" i="14"/>
  <c r="F108" i="14"/>
  <c r="E108" i="14"/>
  <c r="D108" i="14"/>
  <c r="T107" i="14"/>
  <c r="S107" i="14"/>
  <c r="F107" i="14"/>
  <c r="E107" i="14"/>
  <c r="D107" i="14"/>
  <c r="T106" i="14"/>
  <c r="S106" i="14"/>
  <c r="F106" i="14"/>
  <c r="E106" i="14"/>
  <c r="D106" i="14"/>
  <c r="T105" i="14"/>
  <c r="S105" i="14"/>
  <c r="F105" i="14"/>
  <c r="E105" i="14"/>
  <c r="D105" i="14"/>
  <c r="T104" i="14"/>
  <c r="S104" i="14"/>
  <c r="F104" i="14"/>
  <c r="E104" i="14"/>
  <c r="D104" i="14"/>
  <c r="T103" i="14"/>
  <c r="S103" i="14"/>
  <c r="F103" i="14"/>
  <c r="E103" i="14"/>
  <c r="D103" i="14"/>
  <c r="T102" i="14"/>
  <c r="F102" i="14"/>
  <c r="E102" i="14"/>
  <c r="D102" i="14"/>
  <c r="M101" i="14"/>
  <c r="M92" i="14"/>
  <c r="B89" i="14"/>
  <c r="B90" i="14" s="1"/>
  <c r="T77" i="14"/>
  <c r="T76" i="14"/>
  <c r="T75" i="14"/>
  <c r="T74" i="14"/>
  <c r="M74" i="14"/>
  <c r="T73" i="14"/>
  <c r="T72" i="14"/>
  <c r="T71" i="14"/>
  <c r="M71" i="14"/>
  <c r="T70" i="14"/>
  <c r="T69" i="14"/>
  <c r="T68" i="14"/>
  <c r="T67" i="14"/>
  <c r="T66" i="14"/>
  <c r="M66" i="14"/>
  <c r="T58" i="14"/>
  <c r="F58" i="14"/>
  <c r="D58" i="14"/>
  <c r="T57" i="14"/>
  <c r="F57" i="14"/>
  <c r="D57" i="14"/>
  <c r="T56" i="14"/>
  <c r="F56" i="14"/>
  <c r="D56" i="14"/>
  <c r="T55" i="14"/>
  <c r="F55" i="14"/>
  <c r="D55" i="14"/>
  <c r="T54" i="14"/>
  <c r="F54" i="14"/>
  <c r="D54" i="14"/>
  <c r="T53" i="14"/>
  <c r="F53" i="14"/>
  <c r="D53" i="14"/>
  <c r="T52" i="14"/>
  <c r="F52" i="14"/>
  <c r="D52" i="14"/>
  <c r="T51" i="14"/>
  <c r="F51" i="14"/>
  <c r="D51" i="14"/>
  <c r="T50" i="14"/>
  <c r="F50" i="14"/>
  <c r="D50" i="14"/>
  <c r="T49" i="14"/>
  <c r="F49" i="14"/>
  <c r="D49" i="14"/>
  <c r="T48" i="14"/>
  <c r="F48" i="14"/>
  <c r="D48" i="14"/>
  <c r="T47" i="14"/>
  <c r="F47" i="14"/>
  <c r="D47" i="14"/>
  <c r="M46" i="14"/>
  <c r="B32" i="14"/>
  <c r="B33" i="14" s="1"/>
  <c r="R21" i="14"/>
  <c r="K61" i="1"/>
  <c r="W221" i="1"/>
  <c r="W278" i="1"/>
  <c r="U10" i="12"/>
  <c r="U9" i="12"/>
  <c r="AA66" i="12"/>
  <c r="AA55" i="12"/>
  <c r="AA44" i="12"/>
  <c r="AA33" i="12"/>
  <c r="AA22" i="12"/>
  <c r="N68" i="12"/>
  <c r="N67" i="12"/>
  <c r="N66" i="12"/>
  <c r="N65" i="12"/>
  <c r="N57" i="12"/>
  <c r="N56" i="12"/>
  <c r="N55" i="12"/>
  <c r="N54" i="12"/>
  <c r="N46" i="12"/>
  <c r="N45" i="12"/>
  <c r="N44" i="12"/>
  <c r="N43" i="12"/>
  <c r="N35" i="12"/>
  <c r="N34" i="12"/>
  <c r="N33" i="12"/>
  <c r="N32" i="12"/>
  <c r="N22" i="12"/>
  <c r="N23" i="12"/>
  <c r="N24" i="12"/>
  <c r="N21" i="12"/>
  <c r="AC46" i="12"/>
  <c r="AC47" i="12"/>
  <c r="AC45" i="12"/>
  <c r="K23" i="12"/>
  <c r="K22" i="12"/>
  <c r="R53" i="13"/>
  <c r="R52" i="13"/>
  <c r="R44" i="13"/>
  <c r="R43" i="13"/>
  <c r="R35" i="13"/>
  <c r="R34" i="13"/>
  <c r="R26" i="13"/>
  <c r="R25" i="13"/>
  <c r="AA18" i="13"/>
  <c r="AA17" i="13"/>
  <c r="T17" i="13"/>
  <c r="AA16" i="13"/>
  <c r="T16" i="13"/>
  <c r="AA15" i="13"/>
  <c r="M9" i="13"/>
  <c r="L9" i="13"/>
  <c r="L8" i="13"/>
  <c r="Q3" i="12"/>
  <c r="Q5" i="12"/>
  <c r="Q6" i="12"/>
  <c r="Q4" i="12"/>
  <c r="M178" i="14" l="1"/>
  <c r="M68" i="14"/>
  <c r="M76" i="14"/>
  <c r="N254" i="14"/>
  <c r="N256" i="14" s="1"/>
  <c r="N257" i="14" s="1"/>
  <c r="W294" i="14"/>
  <c r="M67" i="14"/>
  <c r="M77" i="14"/>
  <c r="W293" i="14"/>
  <c r="M69" i="14"/>
  <c r="M184" i="14"/>
  <c r="M75" i="14"/>
  <c r="M70" i="14"/>
  <c r="M121" i="14"/>
  <c r="W296" i="14"/>
  <c r="M122" i="14"/>
  <c r="M72" i="14"/>
  <c r="M123" i="14"/>
  <c r="M73" i="14"/>
  <c r="W232" i="14"/>
  <c r="Y232" i="14" s="1"/>
  <c r="W344" i="14"/>
  <c r="Y344" i="14" s="1"/>
  <c r="M125" i="14"/>
  <c r="M235" i="14"/>
  <c r="M128" i="14"/>
  <c r="W238" i="14"/>
  <c r="B310" i="14"/>
  <c r="O309" i="14" s="1"/>
  <c r="O311" i="14" s="1"/>
  <c r="B91" i="14"/>
  <c r="O89" i="14"/>
  <c r="O91" i="14" s="1"/>
  <c r="B34" i="14"/>
  <c r="N89" i="14"/>
  <c r="N91" i="14" s="1"/>
  <c r="B145" i="14"/>
  <c r="N144" i="14"/>
  <c r="N146" i="14" s="1"/>
  <c r="B200" i="14"/>
  <c r="O198" i="14"/>
  <c r="O200" i="14" s="1"/>
  <c r="N266" i="14"/>
  <c r="O257" i="14"/>
  <c r="O266" i="14"/>
  <c r="W187" i="14"/>
  <c r="W177" i="14"/>
  <c r="Y177" i="14" s="1"/>
  <c r="W184" i="14"/>
  <c r="W179" i="14"/>
  <c r="Y179" i="14" s="1"/>
  <c r="W181" i="14"/>
  <c r="Y181" i="14" s="1"/>
  <c r="W178" i="14"/>
  <c r="Y178" i="14" s="1"/>
  <c r="W185" i="14"/>
  <c r="W180" i="14"/>
  <c r="Y180" i="14" s="1"/>
  <c r="W183" i="14"/>
  <c r="W176" i="14"/>
  <c r="Y176" i="14" s="1"/>
  <c r="W186" i="14"/>
  <c r="N321" i="14"/>
  <c r="N312" i="14"/>
  <c r="M176" i="14"/>
  <c r="M183" i="14"/>
  <c r="W230" i="14"/>
  <c r="Y230" i="14" s="1"/>
  <c r="M233" i="14"/>
  <c r="W237" i="14"/>
  <c r="B256" i="14"/>
  <c r="W287" i="14"/>
  <c r="Y287" i="14" s="1"/>
  <c r="W289" i="14"/>
  <c r="Y289" i="14" s="1"/>
  <c r="W291" i="14"/>
  <c r="Y291" i="14" s="1"/>
  <c r="M294" i="14"/>
  <c r="W341" i="14"/>
  <c r="Y341" i="14" s="1"/>
  <c r="M238" i="14"/>
  <c r="M132" i="14"/>
  <c r="M186" i="14"/>
  <c r="N198" i="14"/>
  <c r="N200" i="14" s="1"/>
  <c r="M231" i="14"/>
  <c r="W240" i="14"/>
  <c r="M286" i="14"/>
  <c r="M288" i="14"/>
  <c r="M290" i="14"/>
  <c r="M292" i="14"/>
  <c r="M342" i="14"/>
  <c r="W343" i="14"/>
  <c r="Y343" i="14" s="1"/>
  <c r="M126" i="14"/>
  <c r="M129" i="14"/>
  <c r="M181" i="14"/>
  <c r="W235" i="14"/>
  <c r="Y235" i="14" s="1"/>
  <c r="M241" i="14"/>
  <c r="M344" i="14"/>
  <c r="W345" i="14"/>
  <c r="Y345" i="14" s="1"/>
  <c r="M179" i="14"/>
  <c r="W233" i="14"/>
  <c r="Y233" i="14" s="1"/>
  <c r="M236" i="14"/>
  <c r="M297" i="14"/>
  <c r="M346" i="14"/>
  <c r="W347" i="14"/>
  <c r="W349" i="14"/>
  <c r="W351" i="14"/>
  <c r="M177" i="14"/>
  <c r="W231" i="14"/>
  <c r="Y231" i="14" s="1"/>
  <c r="M234" i="14"/>
  <c r="M239" i="14"/>
  <c r="M295" i="14"/>
  <c r="M348" i="14"/>
  <c r="M350" i="14"/>
  <c r="M352" i="14"/>
  <c r="M127" i="14"/>
  <c r="M130" i="14"/>
  <c r="M187" i="14"/>
  <c r="W241" i="14"/>
  <c r="W286" i="14"/>
  <c r="Y286" i="14" s="1"/>
  <c r="W288" i="14"/>
  <c r="Y288" i="14" s="1"/>
  <c r="W290" i="14"/>
  <c r="Y290" i="14" s="1"/>
  <c r="W292" i="14"/>
  <c r="M124" i="14"/>
  <c r="M232" i="14"/>
  <c r="M293" i="14"/>
  <c r="M341" i="14"/>
  <c r="W342" i="14"/>
  <c r="Y342" i="14" s="1"/>
  <c r="M182" i="14"/>
  <c r="W236" i="14"/>
  <c r="M287" i="14"/>
  <c r="M289" i="14"/>
  <c r="M291" i="14"/>
  <c r="M230" i="14"/>
  <c r="M237" i="14"/>
  <c r="W297" i="14"/>
  <c r="M343" i="14"/>
  <c r="M180" i="14"/>
  <c r="M185" i="14"/>
  <c r="W234" i="14"/>
  <c r="Y234" i="14" s="1"/>
  <c r="M131" i="14"/>
  <c r="M240" i="14"/>
  <c r="M345" i="14"/>
  <c r="W346" i="14"/>
  <c r="Y346" i="14" s="1"/>
  <c r="M296" i="14"/>
  <c r="W348" i="14"/>
  <c r="W350" i="14"/>
  <c r="M347" i="14"/>
  <c r="M349" i="14"/>
  <c r="K66" i="12"/>
  <c r="K65" i="12"/>
  <c r="K55" i="12"/>
  <c r="K54" i="12"/>
  <c r="K44" i="12"/>
  <c r="K43" i="12"/>
  <c r="K34" i="12"/>
  <c r="K33" i="12"/>
  <c r="O113" i="1"/>
  <c r="O114" i="1"/>
  <c r="O115" i="1"/>
  <c r="O116" i="1"/>
  <c r="O117" i="1"/>
  <c r="O118" i="1"/>
  <c r="O119" i="1"/>
  <c r="O120" i="1"/>
  <c r="O121" i="1"/>
  <c r="O122" i="1"/>
  <c r="O123" i="1"/>
  <c r="O124" i="1"/>
  <c r="O346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M327" i="1"/>
  <c r="M272" i="1"/>
  <c r="M216" i="1"/>
  <c r="M162" i="1"/>
  <c r="M107" i="1"/>
  <c r="AA301" i="1"/>
  <c r="AA299" i="1"/>
  <c r="AA300" i="1"/>
  <c r="AA298" i="1"/>
  <c r="K333" i="5"/>
  <c r="R314" i="1"/>
  <c r="R303" i="1"/>
  <c r="N303" i="1"/>
  <c r="E341" i="5"/>
  <c r="E343" i="5"/>
  <c r="E344" i="5"/>
  <c r="B246" i="1"/>
  <c r="B301" i="1"/>
  <c r="B302" i="1" s="1"/>
  <c r="B303" i="1" s="1"/>
  <c r="B304" i="1" s="1"/>
  <c r="B305" i="1" s="1"/>
  <c r="B306" i="1" s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32" i="1"/>
  <c r="K334" i="5"/>
  <c r="K335" i="5"/>
  <c r="K336" i="5"/>
  <c r="K337" i="5"/>
  <c r="K338" i="5"/>
  <c r="K339" i="5"/>
  <c r="K340" i="5"/>
  <c r="K341" i="5"/>
  <c r="K342" i="5"/>
  <c r="K343" i="5"/>
  <c r="K344" i="5"/>
  <c r="L333" i="5"/>
  <c r="M344" i="1"/>
  <c r="M343" i="1"/>
  <c r="M342" i="1"/>
  <c r="M341" i="1"/>
  <c r="M340" i="1"/>
  <c r="E340" i="5" s="1"/>
  <c r="L340" i="5" s="1"/>
  <c r="M339" i="1"/>
  <c r="E339" i="5" s="1"/>
  <c r="L339" i="5" s="1"/>
  <c r="M338" i="1"/>
  <c r="E338" i="5" s="1"/>
  <c r="M337" i="1"/>
  <c r="E337" i="5" s="1"/>
  <c r="M336" i="1"/>
  <c r="E336" i="5" s="1"/>
  <c r="M335" i="1"/>
  <c r="E335" i="5" s="1"/>
  <c r="M334" i="1"/>
  <c r="E334" i="5" s="1"/>
  <c r="M333" i="1"/>
  <c r="E333" i="5" s="1"/>
  <c r="M289" i="1"/>
  <c r="M288" i="1"/>
  <c r="M287" i="1"/>
  <c r="M286" i="1"/>
  <c r="M285" i="1"/>
  <c r="M284" i="1"/>
  <c r="M283" i="1"/>
  <c r="M282" i="1"/>
  <c r="M281" i="1"/>
  <c r="M280" i="1"/>
  <c r="M279" i="1"/>
  <c r="E279" i="5" s="1"/>
  <c r="H279" i="5" s="1"/>
  <c r="M278" i="1"/>
  <c r="E278" i="5" s="1"/>
  <c r="L278" i="5" s="1"/>
  <c r="U338" i="5"/>
  <c r="T338" i="5"/>
  <c r="D328" i="5"/>
  <c r="D327" i="5"/>
  <c r="D326" i="5"/>
  <c r="U283" i="5"/>
  <c r="T283" i="5"/>
  <c r="Y190" i="1"/>
  <c r="M326" i="1"/>
  <c r="T325" i="1"/>
  <c r="F325" i="1"/>
  <c r="E325" i="1"/>
  <c r="D325" i="1"/>
  <c r="T324" i="1"/>
  <c r="F324" i="1"/>
  <c r="E324" i="1"/>
  <c r="D324" i="1"/>
  <c r="T323" i="1"/>
  <c r="F323" i="1"/>
  <c r="E323" i="1"/>
  <c r="D323" i="1"/>
  <c r="T322" i="1"/>
  <c r="F322" i="1"/>
  <c r="E322" i="1"/>
  <c r="D322" i="1"/>
  <c r="T321" i="1"/>
  <c r="F321" i="1"/>
  <c r="E321" i="1"/>
  <c r="D321" i="1"/>
  <c r="T320" i="1"/>
  <c r="F320" i="1"/>
  <c r="E320" i="1"/>
  <c r="D320" i="1"/>
  <c r="T319" i="1"/>
  <c r="F319" i="1"/>
  <c r="E319" i="1"/>
  <c r="D319" i="1"/>
  <c r="T318" i="1"/>
  <c r="F318" i="1"/>
  <c r="E318" i="1"/>
  <c r="D318" i="1"/>
  <c r="T317" i="1"/>
  <c r="F317" i="1"/>
  <c r="E317" i="1"/>
  <c r="D317" i="1"/>
  <c r="T316" i="1"/>
  <c r="F316" i="1"/>
  <c r="E316" i="1"/>
  <c r="D316" i="1"/>
  <c r="T315" i="1"/>
  <c r="F315" i="1"/>
  <c r="E315" i="1"/>
  <c r="D315" i="1"/>
  <c r="T314" i="1"/>
  <c r="F314" i="1"/>
  <c r="E314" i="1"/>
  <c r="D314" i="1"/>
  <c r="M313" i="1"/>
  <c r="M304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Q278" i="1"/>
  <c r="Q279" i="1"/>
  <c r="Q280" i="1"/>
  <c r="Q281" i="1"/>
  <c r="Q282" i="1"/>
  <c r="Q284" i="1"/>
  <c r="Q285" i="1"/>
  <c r="Q286" i="1"/>
  <c r="Q287" i="1"/>
  <c r="Q288" i="1"/>
  <c r="Q289" i="1"/>
  <c r="P278" i="1"/>
  <c r="P279" i="1"/>
  <c r="P280" i="1"/>
  <c r="P281" i="1"/>
  <c r="P282" i="1"/>
  <c r="P284" i="1"/>
  <c r="P285" i="1"/>
  <c r="P286" i="1"/>
  <c r="P287" i="1"/>
  <c r="P288" i="1"/>
  <c r="P289" i="1"/>
  <c r="W279" i="1"/>
  <c r="W280" i="1"/>
  <c r="W281" i="1"/>
  <c r="W282" i="1"/>
  <c r="W283" i="1"/>
  <c r="W284" i="1"/>
  <c r="W285" i="1"/>
  <c r="W286" i="1"/>
  <c r="W287" i="1"/>
  <c r="W288" i="1"/>
  <c r="W289" i="1"/>
  <c r="W173" i="1"/>
  <c r="W277" i="1"/>
  <c r="K279" i="5"/>
  <c r="K280" i="5"/>
  <c r="K281" i="5"/>
  <c r="K282" i="5"/>
  <c r="K283" i="5"/>
  <c r="K284" i="5"/>
  <c r="K285" i="5"/>
  <c r="K286" i="5"/>
  <c r="K287" i="5"/>
  <c r="K288" i="5"/>
  <c r="K289" i="5"/>
  <c r="K278" i="5"/>
  <c r="D272" i="5"/>
  <c r="D273" i="5"/>
  <c r="D271" i="5"/>
  <c r="E280" i="5"/>
  <c r="E281" i="5"/>
  <c r="F281" i="5" s="1"/>
  <c r="G281" i="5" s="1"/>
  <c r="E282" i="5"/>
  <c r="F282" i="5" s="1"/>
  <c r="G282" i="5" s="1"/>
  <c r="H282" i="5"/>
  <c r="M222" i="1"/>
  <c r="M113" i="1"/>
  <c r="M271" i="1"/>
  <c r="E260" i="1"/>
  <c r="E261" i="1"/>
  <c r="E262" i="1"/>
  <c r="E263" i="1"/>
  <c r="E264" i="1"/>
  <c r="E265" i="1"/>
  <c r="E266" i="1"/>
  <c r="E267" i="1"/>
  <c r="E268" i="1"/>
  <c r="E269" i="1"/>
  <c r="E270" i="1"/>
  <c r="E259" i="1"/>
  <c r="E204" i="1"/>
  <c r="E205" i="1"/>
  <c r="E206" i="1"/>
  <c r="E207" i="1"/>
  <c r="E208" i="1"/>
  <c r="E209" i="1"/>
  <c r="E210" i="1"/>
  <c r="E211" i="1"/>
  <c r="E212" i="1"/>
  <c r="E213" i="1"/>
  <c r="E214" i="1"/>
  <c r="E203" i="1"/>
  <c r="E149" i="1"/>
  <c r="E160" i="1"/>
  <c r="E159" i="1"/>
  <c r="E158" i="1"/>
  <c r="E157" i="1"/>
  <c r="E156" i="1"/>
  <c r="E155" i="1"/>
  <c r="E154" i="1"/>
  <c r="E153" i="1"/>
  <c r="E152" i="1"/>
  <c r="E151" i="1"/>
  <c r="E150" i="1"/>
  <c r="E95" i="1"/>
  <c r="E96" i="1"/>
  <c r="E97" i="1"/>
  <c r="E98" i="1"/>
  <c r="E99" i="1"/>
  <c r="E100" i="1"/>
  <c r="E101" i="1"/>
  <c r="E102" i="1"/>
  <c r="E103" i="1"/>
  <c r="E104" i="1"/>
  <c r="E105" i="1"/>
  <c r="Y189" i="1"/>
  <c r="S96" i="1"/>
  <c r="S97" i="1"/>
  <c r="S98" i="1"/>
  <c r="S99" i="1"/>
  <c r="S100" i="1"/>
  <c r="S101" i="1"/>
  <c r="S102" i="1"/>
  <c r="S103" i="1"/>
  <c r="S104" i="1"/>
  <c r="S105" i="1"/>
  <c r="S95" i="1"/>
  <c r="E94" i="1"/>
  <c r="M215" i="1"/>
  <c r="M161" i="1"/>
  <c r="M106" i="1"/>
  <c r="D149" i="1"/>
  <c r="M139" i="1"/>
  <c r="T149" i="1"/>
  <c r="Y188" i="1"/>
  <c r="Y187" i="1"/>
  <c r="Y186" i="1"/>
  <c r="B190" i="1"/>
  <c r="N190" i="1" s="1"/>
  <c r="N192" i="1" s="1"/>
  <c r="B247" i="1"/>
  <c r="B248" i="1" s="1"/>
  <c r="B249" i="1" s="1"/>
  <c r="B250" i="1" s="1"/>
  <c r="B251" i="1" s="1"/>
  <c r="R94" i="1"/>
  <c r="M148" i="1"/>
  <c r="B136" i="1"/>
  <c r="N136" i="1" s="1"/>
  <c r="N83" i="1"/>
  <c r="T270" i="1"/>
  <c r="F270" i="1"/>
  <c r="D270" i="1"/>
  <c r="T269" i="1"/>
  <c r="F269" i="1"/>
  <c r="D269" i="1"/>
  <c r="T268" i="1"/>
  <c r="F268" i="1"/>
  <c r="D268" i="1"/>
  <c r="T267" i="1"/>
  <c r="F267" i="1"/>
  <c r="D267" i="1"/>
  <c r="T266" i="1"/>
  <c r="F266" i="1"/>
  <c r="D266" i="1"/>
  <c r="T265" i="1"/>
  <c r="F265" i="1"/>
  <c r="D265" i="1"/>
  <c r="T264" i="1"/>
  <c r="F264" i="1"/>
  <c r="D264" i="1"/>
  <c r="T263" i="1"/>
  <c r="F263" i="1"/>
  <c r="D263" i="1"/>
  <c r="T262" i="1"/>
  <c r="F262" i="1"/>
  <c r="D262" i="1"/>
  <c r="T261" i="1"/>
  <c r="F261" i="1"/>
  <c r="D261" i="1"/>
  <c r="T260" i="1"/>
  <c r="F260" i="1"/>
  <c r="D260" i="1"/>
  <c r="T259" i="1"/>
  <c r="F259" i="1"/>
  <c r="D259" i="1"/>
  <c r="M258" i="1"/>
  <c r="M249" i="1"/>
  <c r="S114" i="5"/>
  <c r="W57" i="5"/>
  <c r="W56" i="5"/>
  <c r="S58" i="5"/>
  <c r="T58" i="5"/>
  <c r="K59" i="5"/>
  <c r="K60" i="5"/>
  <c r="K61" i="5"/>
  <c r="K62" i="5"/>
  <c r="K63" i="5"/>
  <c r="K64" i="5"/>
  <c r="K65" i="5"/>
  <c r="K66" i="5"/>
  <c r="K67" i="5"/>
  <c r="K68" i="5"/>
  <c r="K69" i="5"/>
  <c r="K58" i="5"/>
  <c r="D52" i="5"/>
  <c r="D53" i="5"/>
  <c r="D51" i="5"/>
  <c r="J193" i="8"/>
  <c r="K114" i="5"/>
  <c r="K115" i="5"/>
  <c r="K116" i="5"/>
  <c r="K117" i="5"/>
  <c r="K118" i="5"/>
  <c r="K119" i="5"/>
  <c r="K120" i="5"/>
  <c r="K121" i="5"/>
  <c r="K122" i="5"/>
  <c r="K123" i="5"/>
  <c r="K124" i="5"/>
  <c r="K113" i="5"/>
  <c r="K169" i="5"/>
  <c r="K170" i="5"/>
  <c r="K171" i="5"/>
  <c r="K172" i="5"/>
  <c r="K173" i="5"/>
  <c r="K174" i="5"/>
  <c r="K175" i="5"/>
  <c r="K176" i="5"/>
  <c r="K177" i="5"/>
  <c r="K178" i="5"/>
  <c r="K179" i="5"/>
  <c r="K168" i="5"/>
  <c r="D216" i="5"/>
  <c r="D217" i="5"/>
  <c r="D215" i="5"/>
  <c r="D162" i="5"/>
  <c r="D163" i="5"/>
  <c r="D161" i="5"/>
  <c r="K222" i="5"/>
  <c r="M57" i="9"/>
  <c r="N57" i="9" s="1"/>
  <c r="L57" i="9"/>
  <c r="O57" i="9" s="1"/>
  <c r="K57" i="9"/>
  <c r="H57" i="9"/>
  <c r="F57" i="9"/>
  <c r="G57" i="9" s="1"/>
  <c r="L56" i="9"/>
  <c r="O56" i="9" s="1"/>
  <c r="K56" i="9"/>
  <c r="H56" i="9"/>
  <c r="F56" i="9"/>
  <c r="G56" i="9" s="1"/>
  <c r="M55" i="9"/>
  <c r="N55" i="9" s="1"/>
  <c r="L55" i="9"/>
  <c r="O55" i="9" s="1"/>
  <c r="K55" i="9"/>
  <c r="H55" i="9"/>
  <c r="F55" i="9"/>
  <c r="G55" i="9" s="1"/>
  <c r="L54" i="9"/>
  <c r="O54" i="9" s="1"/>
  <c r="K54" i="9"/>
  <c r="H54" i="9"/>
  <c r="F54" i="9"/>
  <c r="G54" i="9" s="1"/>
  <c r="M53" i="9"/>
  <c r="N53" i="9" s="1"/>
  <c r="L53" i="9"/>
  <c r="O53" i="9" s="1"/>
  <c r="K53" i="9"/>
  <c r="H53" i="9"/>
  <c r="F53" i="9"/>
  <c r="G53" i="9" s="1"/>
  <c r="L52" i="9"/>
  <c r="O52" i="9" s="1"/>
  <c r="K52" i="9"/>
  <c r="H52" i="9"/>
  <c r="F52" i="9"/>
  <c r="G52" i="9" s="1"/>
  <c r="M51" i="9"/>
  <c r="N51" i="9" s="1"/>
  <c r="L51" i="9"/>
  <c r="O51" i="9" s="1"/>
  <c r="K51" i="9"/>
  <c r="H51" i="9"/>
  <c r="F51" i="9"/>
  <c r="G51" i="9" s="1"/>
  <c r="L50" i="9"/>
  <c r="O50" i="9" s="1"/>
  <c r="K50" i="9"/>
  <c r="H50" i="9"/>
  <c r="F50" i="9"/>
  <c r="G50" i="9" s="1"/>
  <c r="M49" i="9"/>
  <c r="N49" i="9" s="1"/>
  <c r="L49" i="9"/>
  <c r="O49" i="9" s="1"/>
  <c r="K49" i="9"/>
  <c r="H49" i="9"/>
  <c r="F49" i="9"/>
  <c r="G49" i="9" s="1"/>
  <c r="L48" i="9"/>
  <c r="O48" i="9" s="1"/>
  <c r="K48" i="9"/>
  <c r="H48" i="9"/>
  <c r="F48" i="9"/>
  <c r="G48" i="9" s="1"/>
  <c r="M47" i="9"/>
  <c r="N47" i="9" s="1"/>
  <c r="L47" i="9"/>
  <c r="O47" i="9" s="1"/>
  <c r="K47" i="9"/>
  <c r="H47" i="9"/>
  <c r="F47" i="9"/>
  <c r="G47" i="9" s="1"/>
  <c r="L46" i="9"/>
  <c r="O46" i="9" s="1"/>
  <c r="K46" i="9"/>
  <c r="H46" i="9"/>
  <c r="F46" i="9"/>
  <c r="G46" i="9" s="1"/>
  <c r="K34" i="9"/>
  <c r="K33" i="9"/>
  <c r="K32" i="9"/>
  <c r="K31" i="9"/>
  <c r="K30" i="9"/>
  <c r="K29" i="9"/>
  <c r="K28" i="9"/>
  <c r="K27" i="9"/>
  <c r="K26" i="9"/>
  <c r="K25" i="9"/>
  <c r="K24" i="9"/>
  <c r="K23" i="9"/>
  <c r="W222" i="1"/>
  <c r="T203" i="1"/>
  <c r="M213" i="8"/>
  <c r="W196" i="8"/>
  <c r="W192" i="8"/>
  <c r="W204" i="8" s="1"/>
  <c r="T185" i="8"/>
  <c r="F185" i="8"/>
  <c r="D185" i="8"/>
  <c r="T184" i="8"/>
  <c r="F184" i="8"/>
  <c r="D184" i="8"/>
  <c r="T183" i="8"/>
  <c r="F183" i="8"/>
  <c r="D183" i="8"/>
  <c r="T182" i="8"/>
  <c r="F182" i="8"/>
  <c r="D182" i="8"/>
  <c r="T181" i="8"/>
  <c r="F181" i="8"/>
  <c r="D181" i="8"/>
  <c r="T180" i="8"/>
  <c r="F180" i="8"/>
  <c r="D180" i="8"/>
  <c r="T179" i="8"/>
  <c r="F179" i="8"/>
  <c r="D179" i="8"/>
  <c r="T178" i="8"/>
  <c r="F178" i="8"/>
  <c r="D178" i="8"/>
  <c r="T177" i="8"/>
  <c r="F177" i="8"/>
  <c r="D177" i="8"/>
  <c r="T176" i="8"/>
  <c r="F176" i="8"/>
  <c r="D176" i="8"/>
  <c r="T175" i="8"/>
  <c r="F175" i="8"/>
  <c r="D175" i="8"/>
  <c r="T174" i="8"/>
  <c r="F174" i="8"/>
  <c r="D174" i="8"/>
  <c r="M173" i="8"/>
  <c r="O165" i="8"/>
  <c r="M165" i="8"/>
  <c r="B163" i="8"/>
  <c r="B164" i="8" s="1"/>
  <c r="B165" i="8" s="1"/>
  <c r="P162" i="8"/>
  <c r="P164" i="8" s="1"/>
  <c r="O162" i="8"/>
  <c r="O164" i="8" s="1"/>
  <c r="O173" i="8" s="1"/>
  <c r="B162" i="8"/>
  <c r="N162" i="8" s="1"/>
  <c r="N164" i="8" s="1"/>
  <c r="W151" i="8"/>
  <c r="W150" i="8"/>
  <c r="M149" i="8"/>
  <c r="M148" i="8"/>
  <c r="W147" i="8"/>
  <c r="M147" i="8"/>
  <c r="W146" i="8"/>
  <c r="M144" i="8"/>
  <c r="W142" i="8"/>
  <c r="M142" i="8"/>
  <c r="W141" i="8"/>
  <c r="M141" i="8"/>
  <c r="W140" i="8"/>
  <c r="W139" i="8"/>
  <c r="T133" i="8"/>
  <c r="F133" i="8"/>
  <c r="D133" i="8"/>
  <c r="T132" i="8"/>
  <c r="F132" i="8"/>
  <c r="D132" i="8"/>
  <c r="T131" i="8"/>
  <c r="F131" i="8"/>
  <c r="D131" i="8"/>
  <c r="T130" i="8"/>
  <c r="F130" i="8"/>
  <c r="D130" i="8"/>
  <c r="T129" i="8"/>
  <c r="F129" i="8"/>
  <c r="D129" i="8"/>
  <c r="T128" i="8"/>
  <c r="F128" i="8"/>
  <c r="D128" i="8"/>
  <c r="T127" i="8"/>
  <c r="F127" i="8"/>
  <c r="D127" i="8"/>
  <c r="T126" i="8"/>
  <c r="F126" i="8"/>
  <c r="D126" i="8"/>
  <c r="T125" i="8"/>
  <c r="F125" i="8"/>
  <c r="D125" i="8"/>
  <c r="T124" i="8"/>
  <c r="F124" i="8"/>
  <c r="D124" i="8"/>
  <c r="T123" i="8"/>
  <c r="F123" i="8"/>
  <c r="D123" i="8"/>
  <c r="T122" i="8"/>
  <c r="F122" i="8"/>
  <c r="D122" i="8"/>
  <c r="M121" i="8"/>
  <c r="M113" i="8"/>
  <c r="B110" i="8"/>
  <c r="M97" i="8"/>
  <c r="M96" i="8"/>
  <c r="M94" i="8"/>
  <c r="B94" i="8"/>
  <c r="M92" i="8"/>
  <c r="M91" i="8"/>
  <c r="M90" i="8"/>
  <c r="M88" i="8"/>
  <c r="M87" i="8"/>
  <c r="T80" i="8"/>
  <c r="F80" i="8"/>
  <c r="D80" i="8"/>
  <c r="T79" i="8"/>
  <c r="F79" i="8"/>
  <c r="D79" i="8"/>
  <c r="T78" i="8"/>
  <c r="F78" i="8"/>
  <c r="D78" i="8"/>
  <c r="T77" i="8"/>
  <c r="F77" i="8"/>
  <c r="D77" i="8"/>
  <c r="T76" i="8"/>
  <c r="F76" i="8"/>
  <c r="D76" i="8"/>
  <c r="T75" i="8"/>
  <c r="F75" i="8"/>
  <c r="D75" i="8"/>
  <c r="T74" i="8"/>
  <c r="F74" i="8"/>
  <c r="D74" i="8"/>
  <c r="T73" i="8"/>
  <c r="F73" i="8"/>
  <c r="D73" i="8"/>
  <c r="T72" i="8"/>
  <c r="F72" i="8"/>
  <c r="D72" i="8"/>
  <c r="T71" i="8"/>
  <c r="F71" i="8"/>
  <c r="D71" i="8"/>
  <c r="T70" i="8"/>
  <c r="F70" i="8"/>
  <c r="D70" i="8"/>
  <c r="T69" i="8"/>
  <c r="F69" i="8"/>
  <c r="D69" i="8"/>
  <c r="M68" i="8"/>
  <c r="M60" i="8"/>
  <c r="B57" i="8"/>
  <c r="N57" i="8" s="1"/>
  <c r="N59" i="8" s="1"/>
  <c r="T47" i="8"/>
  <c r="F47" i="8"/>
  <c r="D47" i="8"/>
  <c r="T46" i="8"/>
  <c r="F46" i="8"/>
  <c r="D46" i="8"/>
  <c r="T45" i="8"/>
  <c r="F45" i="8"/>
  <c r="D45" i="8"/>
  <c r="T44" i="8"/>
  <c r="F44" i="8"/>
  <c r="D44" i="8"/>
  <c r="T43" i="8"/>
  <c r="F43" i="8"/>
  <c r="D43" i="8"/>
  <c r="T42" i="8"/>
  <c r="F42" i="8"/>
  <c r="D42" i="8"/>
  <c r="T41" i="8"/>
  <c r="F41" i="8"/>
  <c r="D41" i="8"/>
  <c r="T40" i="8"/>
  <c r="F40" i="8"/>
  <c r="D40" i="8"/>
  <c r="T39" i="8"/>
  <c r="F39" i="8"/>
  <c r="D39" i="8"/>
  <c r="T38" i="8"/>
  <c r="F38" i="8"/>
  <c r="D38" i="8"/>
  <c r="T37" i="8"/>
  <c r="F37" i="8"/>
  <c r="D37" i="8"/>
  <c r="T36" i="8"/>
  <c r="F36" i="8"/>
  <c r="D36" i="8"/>
  <c r="M35" i="8"/>
  <c r="M27" i="8"/>
  <c r="B24" i="8"/>
  <c r="R13" i="8"/>
  <c r="T214" i="1"/>
  <c r="F214" i="1"/>
  <c r="D214" i="1"/>
  <c r="T213" i="1"/>
  <c r="F213" i="1"/>
  <c r="D213" i="1"/>
  <c r="T212" i="1"/>
  <c r="F212" i="1"/>
  <c r="D212" i="1"/>
  <c r="T211" i="1"/>
  <c r="F211" i="1"/>
  <c r="D211" i="1"/>
  <c r="T210" i="1"/>
  <c r="F210" i="1"/>
  <c r="D210" i="1"/>
  <c r="T209" i="1"/>
  <c r="F209" i="1"/>
  <c r="D209" i="1"/>
  <c r="T208" i="1"/>
  <c r="F208" i="1"/>
  <c r="D208" i="1"/>
  <c r="T207" i="1"/>
  <c r="F207" i="1"/>
  <c r="D207" i="1"/>
  <c r="T206" i="1"/>
  <c r="F206" i="1"/>
  <c r="D206" i="1"/>
  <c r="T205" i="1"/>
  <c r="F205" i="1"/>
  <c r="D205" i="1"/>
  <c r="T204" i="1"/>
  <c r="F204" i="1"/>
  <c r="D204" i="1"/>
  <c r="F203" i="1"/>
  <c r="D203" i="1"/>
  <c r="M202" i="1"/>
  <c r="M193" i="1"/>
  <c r="B311" i="14" l="1"/>
  <c r="N46" i="14"/>
  <c r="N156" i="14"/>
  <c r="N147" i="14"/>
  <c r="B146" i="14"/>
  <c r="O144" i="14"/>
  <c r="O146" i="14" s="1"/>
  <c r="N101" i="14"/>
  <c r="N92" i="14"/>
  <c r="P254" i="14"/>
  <c r="P256" i="14" s="1"/>
  <c r="B257" i="14"/>
  <c r="O321" i="14"/>
  <c r="O312" i="14"/>
  <c r="B312" i="14"/>
  <c r="P309" i="14"/>
  <c r="P311" i="14" s="1"/>
  <c r="O46" i="14"/>
  <c r="N210" i="14"/>
  <c r="N201" i="14"/>
  <c r="B35" i="14"/>
  <c r="O101" i="14"/>
  <c r="O92" i="14"/>
  <c r="O210" i="14"/>
  <c r="O201" i="14"/>
  <c r="B92" i="14"/>
  <c r="P89" i="14"/>
  <c r="P91" i="14" s="1"/>
  <c r="B201" i="14"/>
  <c r="P198" i="14"/>
  <c r="P200" i="14" s="1"/>
  <c r="E342" i="5"/>
  <c r="F342" i="5" s="1"/>
  <c r="G342" i="5" s="1"/>
  <c r="L334" i="5"/>
  <c r="O334" i="5" s="1"/>
  <c r="H334" i="5"/>
  <c r="L343" i="5"/>
  <c r="O343" i="5" s="1"/>
  <c r="L338" i="5"/>
  <c r="H335" i="5"/>
  <c r="L335" i="5"/>
  <c r="M335" i="5" s="1"/>
  <c r="N335" i="5" s="1"/>
  <c r="T335" i="1" s="1"/>
  <c r="Y335" i="1" s="1"/>
  <c r="F335" i="5"/>
  <c r="G335" i="5" s="1"/>
  <c r="H336" i="5"/>
  <c r="F336" i="5"/>
  <c r="G336" i="5" s="1"/>
  <c r="L336" i="5"/>
  <c r="H337" i="5"/>
  <c r="F337" i="5"/>
  <c r="G337" i="5" s="1"/>
  <c r="L337" i="5"/>
  <c r="O337" i="5" s="1"/>
  <c r="N301" i="1"/>
  <c r="N304" i="1" s="1"/>
  <c r="H341" i="5"/>
  <c r="L341" i="5"/>
  <c r="O341" i="5" s="1"/>
  <c r="L344" i="5"/>
  <c r="O344" i="5" s="1"/>
  <c r="H344" i="5"/>
  <c r="M333" i="5"/>
  <c r="N333" i="5" s="1"/>
  <c r="T333" i="1" s="1"/>
  <c r="Y333" i="1" s="1"/>
  <c r="H333" i="5"/>
  <c r="F333" i="5"/>
  <c r="G333" i="5" s="1"/>
  <c r="H338" i="5"/>
  <c r="F338" i="5"/>
  <c r="G338" i="5" s="1"/>
  <c r="O339" i="5"/>
  <c r="H339" i="5"/>
  <c r="F339" i="5"/>
  <c r="G339" i="5" s="1"/>
  <c r="F343" i="5"/>
  <c r="G343" i="5" s="1"/>
  <c r="H343" i="5"/>
  <c r="F334" i="5"/>
  <c r="G334" i="5" s="1"/>
  <c r="O340" i="5"/>
  <c r="M340" i="5"/>
  <c r="N340" i="5" s="1"/>
  <c r="T340" i="1" s="1"/>
  <c r="M339" i="5"/>
  <c r="N339" i="5" s="1"/>
  <c r="T339" i="1" s="1"/>
  <c r="F340" i="5"/>
  <c r="G340" i="5" s="1"/>
  <c r="H340" i="5"/>
  <c r="F344" i="5"/>
  <c r="G344" i="5" s="1"/>
  <c r="F341" i="5"/>
  <c r="G341" i="5" s="1"/>
  <c r="O301" i="1"/>
  <c r="L282" i="5"/>
  <c r="O282" i="5" s="1"/>
  <c r="L281" i="5"/>
  <c r="O281" i="5" s="1"/>
  <c r="L280" i="5"/>
  <c r="M280" i="5" s="1"/>
  <c r="N280" i="5" s="1"/>
  <c r="T280" i="1" s="1"/>
  <c r="Y280" i="1" s="1"/>
  <c r="L279" i="5"/>
  <c r="M279" i="5" s="1"/>
  <c r="N279" i="5" s="1"/>
  <c r="T279" i="1" s="1"/>
  <c r="Y279" i="1" s="1"/>
  <c r="F279" i="5"/>
  <c r="G279" i="5" s="1"/>
  <c r="H280" i="5"/>
  <c r="H281" i="5"/>
  <c r="F280" i="5"/>
  <c r="G280" i="5" s="1"/>
  <c r="O280" i="5"/>
  <c r="O278" i="5"/>
  <c r="M278" i="5"/>
  <c r="N278" i="5" s="1"/>
  <c r="T278" i="1" s="1"/>
  <c r="Y278" i="1" s="1"/>
  <c r="F278" i="5"/>
  <c r="G278" i="5" s="1"/>
  <c r="M281" i="5"/>
  <c r="N281" i="5" s="1"/>
  <c r="T281" i="1" s="1"/>
  <c r="Y281" i="1" s="1"/>
  <c r="H278" i="5"/>
  <c r="N246" i="1"/>
  <c r="N248" i="1" s="1"/>
  <c r="N249" i="1" s="1"/>
  <c r="O246" i="1"/>
  <c r="O248" i="1" s="1"/>
  <c r="W229" i="1"/>
  <c r="M46" i="9"/>
  <c r="N46" i="9" s="1"/>
  <c r="M48" i="9"/>
  <c r="N48" i="9" s="1"/>
  <c r="M50" i="9"/>
  <c r="N50" i="9" s="1"/>
  <c r="M52" i="9"/>
  <c r="N52" i="9" s="1"/>
  <c r="M54" i="9"/>
  <c r="N54" i="9" s="1"/>
  <c r="M56" i="9"/>
  <c r="N56" i="9" s="1"/>
  <c r="W233" i="1"/>
  <c r="W232" i="1"/>
  <c r="W231" i="1"/>
  <c r="W230" i="1"/>
  <c r="W228" i="1"/>
  <c r="W227" i="1"/>
  <c r="W224" i="1"/>
  <c r="W225" i="1"/>
  <c r="W223" i="1"/>
  <c r="W226" i="1"/>
  <c r="P173" i="8"/>
  <c r="P165" i="8"/>
  <c r="B166" i="8"/>
  <c r="Q162" i="8"/>
  <c r="Q164" i="8" s="1"/>
  <c r="N60" i="8"/>
  <c r="N68" i="8"/>
  <c r="B111" i="8"/>
  <c r="N110" i="8"/>
  <c r="N112" i="8" s="1"/>
  <c r="B58" i="8"/>
  <c r="N165" i="8"/>
  <c r="N173" i="8"/>
  <c r="W148" i="8"/>
  <c r="W144" i="8"/>
  <c r="W149" i="8"/>
  <c r="W145" i="8"/>
  <c r="W143" i="8"/>
  <c r="M143" i="8"/>
  <c r="M199" i="8"/>
  <c r="M194" i="8"/>
  <c r="M203" i="8"/>
  <c r="M195" i="8"/>
  <c r="M200" i="8"/>
  <c r="M145" i="8"/>
  <c r="M140" i="8"/>
  <c r="M89" i="8"/>
  <c r="M204" i="8"/>
  <c r="M196" i="8"/>
  <c r="M146" i="8"/>
  <c r="M95" i="8"/>
  <c r="M150" i="8"/>
  <c r="M201" i="8"/>
  <c r="M197" i="8"/>
  <c r="M98" i="8"/>
  <c r="M202" i="8"/>
  <c r="M198" i="8"/>
  <c r="M193" i="8"/>
  <c r="M93" i="8"/>
  <c r="M151" i="8"/>
  <c r="B25" i="8"/>
  <c r="N24" i="8"/>
  <c r="N26" i="8" s="1"/>
  <c r="W200" i="8"/>
  <c r="W195" i="8"/>
  <c r="W203" i="8"/>
  <c r="W194" i="8"/>
  <c r="W199" i="8"/>
  <c r="W193" i="8"/>
  <c r="W202" i="8"/>
  <c r="W198" i="8"/>
  <c r="W197" i="8"/>
  <c r="W201" i="8"/>
  <c r="B191" i="1"/>
  <c r="B192" i="1" s="1"/>
  <c r="B193" i="1" s="1"/>
  <c r="B194" i="1" s="1"/>
  <c r="B195" i="1" s="1"/>
  <c r="W167" i="1"/>
  <c r="B137" i="1"/>
  <c r="B138" i="1" s="1"/>
  <c r="B139" i="1" s="1"/>
  <c r="B140" i="1" s="1"/>
  <c r="T160" i="1"/>
  <c r="F160" i="1"/>
  <c r="D160" i="1"/>
  <c r="T159" i="1"/>
  <c r="F159" i="1"/>
  <c r="D159" i="1"/>
  <c r="T158" i="1"/>
  <c r="F158" i="1"/>
  <c r="D158" i="1"/>
  <c r="T157" i="1"/>
  <c r="F157" i="1"/>
  <c r="D157" i="1"/>
  <c r="T156" i="1"/>
  <c r="F156" i="1"/>
  <c r="D156" i="1"/>
  <c r="T155" i="1"/>
  <c r="F155" i="1"/>
  <c r="D155" i="1"/>
  <c r="T154" i="1"/>
  <c r="F154" i="1"/>
  <c r="D154" i="1"/>
  <c r="T153" i="1"/>
  <c r="F153" i="1"/>
  <c r="D153" i="1"/>
  <c r="T152" i="1"/>
  <c r="F152" i="1"/>
  <c r="D152" i="1"/>
  <c r="T151" i="1"/>
  <c r="F151" i="1"/>
  <c r="D151" i="1"/>
  <c r="T150" i="1"/>
  <c r="F150" i="1"/>
  <c r="D150" i="1"/>
  <c r="F149" i="1"/>
  <c r="T105" i="1"/>
  <c r="B81" i="1"/>
  <c r="B82" i="1" s="1"/>
  <c r="B83" i="1" s="1"/>
  <c r="B84" i="1" s="1"/>
  <c r="B85" i="1" s="1"/>
  <c r="B86" i="1" s="1"/>
  <c r="B24" i="1"/>
  <c r="B120" i="1"/>
  <c r="P321" i="14" l="1"/>
  <c r="P312" i="14"/>
  <c r="Q309" i="14"/>
  <c r="Q311" i="14" s="1"/>
  <c r="B313" i="14"/>
  <c r="P257" i="14"/>
  <c r="P266" i="14"/>
  <c r="P210" i="14"/>
  <c r="P201" i="14"/>
  <c r="P101" i="14"/>
  <c r="P92" i="14"/>
  <c r="B258" i="14"/>
  <c r="Q254" i="14"/>
  <c r="Q256" i="14" s="1"/>
  <c r="Q89" i="14"/>
  <c r="Q91" i="14" s="1"/>
  <c r="B93" i="14"/>
  <c r="B202" i="14"/>
  <c r="Q198" i="14"/>
  <c r="Q200" i="14" s="1"/>
  <c r="O147" i="14"/>
  <c r="O156" i="14"/>
  <c r="P144" i="14"/>
  <c r="P146" i="14" s="1"/>
  <c r="B147" i="14"/>
  <c r="B36" i="14"/>
  <c r="P46" i="14"/>
  <c r="L342" i="5"/>
  <c r="H342" i="5"/>
  <c r="M334" i="5"/>
  <c r="N334" i="5" s="1"/>
  <c r="T334" i="1" s="1"/>
  <c r="Y334" i="1" s="1"/>
  <c r="M337" i="5"/>
  <c r="N337" i="5" s="1"/>
  <c r="T337" i="1" s="1"/>
  <c r="Y337" i="1" s="1"/>
  <c r="O335" i="5"/>
  <c r="N313" i="1"/>
  <c r="M344" i="5"/>
  <c r="N344" i="5" s="1"/>
  <c r="T344" i="1" s="1"/>
  <c r="M343" i="5"/>
  <c r="N343" i="5" s="1"/>
  <c r="T343" i="1" s="1"/>
  <c r="O338" i="5"/>
  <c r="M338" i="5"/>
  <c r="N338" i="5" s="1"/>
  <c r="T338" i="1" s="1"/>
  <c r="Y338" i="1" s="1"/>
  <c r="O333" i="5"/>
  <c r="M341" i="5"/>
  <c r="N341" i="5" s="1"/>
  <c r="T341" i="1" s="1"/>
  <c r="M282" i="5"/>
  <c r="N282" i="5" s="1"/>
  <c r="T282" i="1" s="1"/>
  <c r="Y282" i="1" s="1"/>
  <c r="O336" i="5"/>
  <c r="M336" i="5"/>
  <c r="N336" i="5" s="1"/>
  <c r="T336" i="1" s="1"/>
  <c r="Y336" i="1" s="1"/>
  <c r="O303" i="1"/>
  <c r="O279" i="5"/>
  <c r="B141" i="1"/>
  <c r="R136" i="1"/>
  <c r="N258" i="1"/>
  <c r="M114" i="1"/>
  <c r="E114" i="5" s="1"/>
  <c r="H114" i="5" s="1"/>
  <c r="M65" i="1"/>
  <c r="E284" i="5"/>
  <c r="E289" i="5"/>
  <c r="M62" i="1"/>
  <c r="M59" i="1"/>
  <c r="M67" i="1"/>
  <c r="E283" i="5"/>
  <c r="E288" i="5"/>
  <c r="M64" i="1"/>
  <c r="E287" i="5"/>
  <c r="M69" i="1"/>
  <c r="M61" i="1"/>
  <c r="M58" i="1"/>
  <c r="M66" i="1"/>
  <c r="M63" i="1"/>
  <c r="E286" i="5"/>
  <c r="E285" i="5"/>
  <c r="M68" i="1"/>
  <c r="M60" i="1"/>
  <c r="P246" i="1"/>
  <c r="P248" i="1" s="1"/>
  <c r="O258" i="1"/>
  <c r="O249" i="1"/>
  <c r="W172" i="1"/>
  <c r="W169" i="1"/>
  <c r="W171" i="1"/>
  <c r="W170" i="1"/>
  <c r="M168" i="1"/>
  <c r="E168" i="5" s="1"/>
  <c r="M233" i="1"/>
  <c r="M225" i="1"/>
  <c r="M230" i="1"/>
  <c r="M227" i="1"/>
  <c r="M232" i="1"/>
  <c r="M224" i="1"/>
  <c r="M229" i="1"/>
  <c r="M228" i="1"/>
  <c r="M226" i="1"/>
  <c r="M231" i="1"/>
  <c r="M223" i="1"/>
  <c r="W179" i="1"/>
  <c r="W177" i="1"/>
  <c r="N35" i="8"/>
  <c r="N27" i="8"/>
  <c r="B26" i="8"/>
  <c r="O24" i="8"/>
  <c r="O26" i="8" s="1"/>
  <c r="B59" i="8"/>
  <c r="O57" i="8"/>
  <c r="O59" i="8" s="1"/>
  <c r="Q173" i="8"/>
  <c r="Q165" i="8"/>
  <c r="B167" i="8"/>
  <c r="R162" i="8"/>
  <c r="R164" i="8" s="1"/>
  <c r="N121" i="8"/>
  <c r="N113" i="8"/>
  <c r="B112" i="8"/>
  <c r="O110" i="8"/>
  <c r="O112" i="8" s="1"/>
  <c r="M174" i="1"/>
  <c r="E174" i="5" s="1"/>
  <c r="W168" i="1"/>
  <c r="W178" i="1"/>
  <c r="W176" i="1"/>
  <c r="W175" i="1"/>
  <c r="W174" i="1"/>
  <c r="O190" i="1"/>
  <c r="O192" i="1" s="1"/>
  <c r="O202" i="1" s="1"/>
  <c r="N202" i="1"/>
  <c r="N193" i="1"/>
  <c r="P190" i="1"/>
  <c r="P192" i="1" s="1"/>
  <c r="O136" i="1"/>
  <c r="O138" i="1" s="1"/>
  <c r="M122" i="1"/>
  <c r="E122" i="5" s="1"/>
  <c r="M118" i="1"/>
  <c r="E118" i="5" s="1"/>
  <c r="M170" i="1"/>
  <c r="E170" i="5" s="1"/>
  <c r="M173" i="1"/>
  <c r="E173" i="5" s="1"/>
  <c r="M176" i="1"/>
  <c r="E176" i="5" s="1"/>
  <c r="M178" i="1"/>
  <c r="E178" i="5" s="1"/>
  <c r="E113" i="5"/>
  <c r="M121" i="1"/>
  <c r="E121" i="5" s="1"/>
  <c r="M117" i="1"/>
  <c r="E117" i="5" s="1"/>
  <c r="N138" i="1"/>
  <c r="M169" i="1"/>
  <c r="E169" i="5" s="1"/>
  <c r="M124" i="1"/>
  <c r="E124" i="5" s="1"/>
  <c r="M120" i="1"/>
  <c r="E120" i="5" s="1"/>
  <c r="M116" i="1"/>
  <c r="E116" i="5" s="1"/>
  <c r="M172" i="1"/>
  <c r="E172" i="5" s="1"/>
  <c r="M175" i="1"/>
  <c r="E175" i="5" s="1"/>
  <c r="M177" i="1"/>
  <c r="E177" i="5" s="1"/>
  <c r="M179" i="1"/>
  <c r="E179" i="5" s="1"/>
  <c r="M123" i="1"/>
  <c r="E123" i="5" s="1"/>
  <c r="M119" i="1"/>
  <c r="E119" i="5" s="1"/>
  <c r="M115" i="1"/>
  <c r="E115" i="5" s="1"/>
  <c r="M171" i="1"/>
  <c r="E171" i="5" s="1"/>
  <c r="F105" i="1"/>
  <c r="D95" i="1"/>
  <c r="D96" i="1"/>
  <c r="D97" i="1"/>
  <c r="D98" i="1"/>
  <c r="D99" i="1"/>
  <c r="D100" i="1"/>
  <c r="D101" i="1"/>
  <c r="D102" i="1"/>
  <c r="D103" i="1"/>
  <c r="D104" i="1"/>
  <c r="D105" i="1"/>
  <c r="D94" i="1"/>
  <c r="M93" i="1"/>
  <c r="T104" i="1"/>
  <c r="T100" i="1"/>
  <c r="T98" i="1"/>
  <c r="T96" i="1"/>
  <c r="O81" i="1"/>
  <c r="O83" i="1" s="1"/>
  <c r="M38" i="1"/>
  <c r="T39" i="1"/>
  <c r="B259" i="14" l="1"/>
  <c r="R254" i="14"/>
  <c r="R256" i="14" s="1"/>
  <c r="B203" i="14"/>
  <c r="R198" i="14"/>
  <c r="R200" i="14" s="1"/>
  <c r="Q92" i="14"/>
  <c r="Q101" i="14"/>
  <c r="B94" i="14"/>
  <c r="R89" i="14"/>
  <c r="R91" i="14" s="1"/>
  <c r="Q257" i="14"/>
  <c r="Q266" i="14"/>
  <c r="Q210" i="14"/>
  <c r="Q201" i="14"/>
  <c r="Q46" i="14"/>
  <c r="B37" i="14"/>
  <c r="B148" i="14"/>
  <c r="Q144" i="14"/>
  <c r="Q146" i="14" s="1"/>
  <c r="B314" i="14"/>
  <c r="R309" i="14"/>
  <c r="R311" i="14" s="1"/>
  <c r="P147" i="14"/>
  <c r="P156" i="14"/>
  <c r="Q321" i="14"/>
  <c r="Q312" i="14"/>
  <c r="O342" i="5"/>
  <c r="M342" i="5"/>
  <c r="N342" i="5" s="1"/>
  <c r="T342" i="1" s="1"/>
  <c r="P301" i="1"/>
  <c r="P303" i="1" s="1"/>
  <c r="O304" i="1"/>
  <c r="O313" i="1"/>
  <c r="F283" i="5"/>
  <c r="G283" i="5" s="1"/>
  <c r="L283" i="5"/>
  <c r="O283" i="5" s="1"/>
  <c r="H283" i="5"/>
  <c r="L284" i="5"/>
  <c r="F284" i="5"/>
  <c r="G284" i="5" s="1"/>
  <c r="H284" i="5"/>
  <c r="H285" i="5"/>
  <c r="L285" i="5"/>
  <c r="F285" i="5"/>
  <c r="G285" i="5" s="1"/>
  <c r="L286" i="5"/>
  <c r="H286" i="5"/>
  <c r="F286" i="5"/>
  <c r="G286" i="5" s="1"/>
  <c r="L287" i="5"/>
  <c r="H287" i="5"/>
  <c r="F287" i="5"/>
  <c r="G287" i="5" s="1"/>
  <c r="F288" i="5"/>
  <c r="G288" i="5" s="1"/>
  <c r="L288" i="5"/>
  <c r="H288" i="5"/>
  <c r="L289" i="5"/>
  <c r="H289" i="5"/>
  <c r="F289" i="5"/>
  <c r="G289" i="5" s="1"/>
  <c r="F114" i="5"/>
  <c r="G114" i="5" s="1"/>
  <c r="L114" i="5"/>
  <c r="O114" i="5" s="1"/>
  <c r="E60" i="5"/>
  <c r="E68" i="5"/>
  <c r="E67" i="5"/>
  <c r="E59" i="5"/>
  <c r="E64" i="5"/>
  <c r="E62" i="5"/>
  <c r="E63" i="5"/>
  <c r="E69" i="5"/>
  <c r="E66" i="5"/>
  <c r="E65" i="5"/>
  <c r="E61" i="5"/>
  <c r="E58" i="5"/>
  <c r="P249" i="1"/>
  <c r="P258" i="1"/>
  <c r="Q246" i="1"/>
  <c r="Q248" i="1" s="1"/>
  <c r="H172" i="5"/>
  <c r="L172" i="5"/>
  <c r="F172" i="5"/>
  <c r="G172" i="5" s="1"/>
  <c r="E229" i="5"/>
  <c r="E30" i="9"/>
  <c r="L120" i="5"/>
  <c r="H120" i="5"/>
  <c r="F120" i="5"/>
  <c r="G120" i="5" s="1"/>
  <c r="E232" i="5"/>
  <c r="E33" i="9"/>
  <c r="E227" i="5"/>
  <c r="E28" i="9"/>
  <c r="H122" i="5"/>
  <c r="L122" i="5"/>
  <c r="F122" i="5"/>
  <c r="G122" i="5" s="1"/>
  <c r="L169" i="5"/>
  <c r="F169" i="5"/>
  <c r="G169" i="5" s="1"/>
  <c r="H169" i="5"/>
  <c r="E222" i="5"/>
  <c r="L222" i="5" s="1"/>
  <c r="M222" i="5" s="1"/>
  <c r="N222" i="5" s="1"/>
  <c r="E23" i="9"/>
  <c r="E230" i="5"/>
  <c r="E31" i="9"/>
  <c r="F124" i="5"/>
  <c r="G124" i="5" s="1"/>
  <c r="L124" i="5"/>
  <c r="H124" i="5"/>
  <c r="L117" i="5"/>
  <c r="F117" i="5"/>
  <c r="G117" i="5" s="1"/>
  <c r="H117" i="5"/>
  <c r="E225" i="5"/>
  <c r="E26" i="9"/>
  <c r="H121" i="5"/>
  <c r="L121" i="5"/>
  <c r="F121" i="5"/>
  <c r="G121" i="5" s="1"/>
  <c r="E233" i="5"/>
  <c r="E34" i="9"/>
  <c r="L116" i="5"/>
  <c r="F116" i="5"/>
  <c r="G116" i="5" s="1"/>
  <c r="H116" i="5"/>
  <c r="H113" i="5"/>
  <c r="L113" i="5"/>
  <c r="F113" i="5"/>
  <c r="G113" i="5" s="1"/>
  <c r="L168" i="5"/>
  <c r="H168" i="5"/>
  <c r="F168" i="5"/>
  <c r="G168" i="5" s="1"/>
  <c r="L171" i="5"/>
  <c r="F171" i="5"/>
  <c r="G171" i="5" s="1"/>
  <c r="H171" i="5"/>
  <c r="F178" i="5"/>
  <c r="G178" i="5" s="1"/>
  <c r="L178" i="5"/>
  <c r="H178" i="5"/>
  <c r="L175" i="5"/>
  <c r="H175" i="5"/>
  <c r="F175" i="5"/>
  <c r="G175" i="5" s="1"/>
  <c r="F115" i="5"/>
  <c r="G115" i="5" s="1"/>
  <c r="L115" i="5"/>
  <c r="H115" i="5"/>
  <c r="H176" i="5"/>
  <c r="L176" i="5"/>
  <c r="F176" i="5"/>
  <c r="G176" i="5" s="1"/>
  <c r="E224" i="5"/>
  <c r="E25" i="9"/>
  <c r="L119" i="5"/>
  <c r="H119" i="5"/>
  <c r="F119" i="5"/>
  <c r="G119" i="5" s="1"/>
  <c r="F173" i="5"/>
  <c r="G173" i="5" s="1"/>
  <c r="L173" i="5"/>
  <c r="H173" i="5"/>
  <c r="L174" i="5"/>
  <c r="F174" i="5"/>
  <c r="G174" i="5" s="1"/>
  <c r="H174" i="5"/>
  <c r="F123" i="5"/>
  <c r="G123" i="5" s="1"/>
  <c r="L123" i="5"/>
  <c r="H123" i="5"/>
  <c r="F179" i="5"/>
  <c r="G179" i="5" s="1"/>
  <c r="L179" i="5"/>
  <c r="H179" i="5"/>
  <c r="E231" i="5"/>
  <c r="E32" i="9"/>
  <c r="E228" i="5"/>
  <c r="E29" i="9"/>
  <c r="H170" i="5"/>
  <c r="L170" i="5"/>
  <c r="F170" i="5"/>
  <c r="G170" i="5" s="1"/>
  <c r="E223" i="5"/>
  <c r="E24" i="9"/>
  <c r="H177" i="5"/>
  <c r="L177" i="5"/>
  <c r="F177" i="5"/>
  <c r="G177" i="5" s="1"/>
  <c r="L118" i="5"/>
  <c r="H118" i="5"/>
  <c r="F118" i="5"/>
  <c r="G118" i="5" s="1"/>
  <c r="E226" i="5"/>
  <c r="E27" i="9"/>
  <c r="O60" i="8"/>
  <c r="O68" i="8"/>
  <c r="O35" i="8"/>
  <c r="O27" i="8"/>
  <c r="P24" i="8"/>
  <c r="P26" i="8" s="1"/>
  <c r="B27" i="8"/>
  <c r="O113" i="8"/>
  <c r="O121" i="8"/>
  <c r="P57" i="8"/>
  <c r="P59" i="8" s="1"/>
  <c r="B60" i="8"/>
  <c r="B113" i="8"/>
  <c r="P110" i="8"/>
  <c r="P112" i="8" s="1"/>
  <c r="R180" i="8"/>
  <c r="R177" i="8"/>
  <c r="R185" i="8"/>
  <c r="R184" i="8"/>
  <c r="R176" i="8"/>
  <c r="R173" i="8"/>
  <c r="T164" i="8"/>
  <c r="U164" i="8" s="1"/>
  <c r="R183" i="8"/>
  <c r="R175" i="8"/>
  <c r="R182" i="8"/>
  <c r="R181" i="8"/>
  <c r="R165" i="8"/>
  <c r="R174" i="8"/>
  <c r="R179" i="8"/>
  <c r="R178" i="8"/>
  <c r="O193" i="1"/>
  <c r="R190" i="1"/>
  <c r="R192" i="1" s="1"/>
  <c r="R203" i="1" s="1"/>
  <c r="Q190" i="1"/>
  <c r="Q192" i="1" s="1"/>
  <c r="P193" i="1"/>
  <c r="P202" i="1"/>
  <c r="N148" i="1"/>
  <c r="N139" i="1"/>
  <c r="O148" i="1"/>
  <c r="O139" i="1"/>
  <c r="P136" i="1"/>
  <c r="P138" i="1" s="1"/>
  <c r="T102" i="1"/>
  <c r="F96" i="1"/>
  <c r="F104" i="1"/>
  <c r="F100" i="1"/>
  <c r="F101" i="1"/>
  <c r="T103" i="1"/>
  <c r="T99" i="1"/>
  <c r="T95" i="1"/>
  <c r="F97" i="1"/>
  <c r="T94" i="1"/>
  <c r="T97" i="1"/>
  <c r="T101" i="1"/>
  <c r="F102" i="1"/>
  <c r="F98" i="1"/>
  <c r="F95" i="1"/>
  <c r="F99" i="1"/>
  <c r="F103" i="1"/>
  <c r="F94" i="1"/>
  <c r="M84" i="1"/>
  <c r="Q81" i="1"/>
  <c r="Q83" i="1" s="1"/>
  <c r="O84" i="1"/>
  <c r="O93" i="1"/>
  <c r="N81" i="1"/>
  <c r="R107" i="14" l="1"/>
  <c r="U107" i="14" s="1"/>
  <c r="R106" i="14"/>
  <c r="U106" i="14" s="1"/>
  <c r="R111" i="14"/>
  <c r="U111" i="14" s="1"/>
  <c r="R105" i="14"/>
  <c r="U105" i="14" s="1"/>
  <c r="R110" i="14"/>
  <c r="U110" i="14" s="1"/>
  <c r="R109" i="14"/>
  <c r="U109" i="14" s="1"/>
  <c r="R103" i="14"/>
  <c r="U103" i="14" s="1"/>
  <c r="R108" i="14"/>
  <c r="U108" i="14" s="1"/>
  <c r="R113" i="14"/>
  <c r="U113" i="14" s="1"/>
  <c r="R104" i="14"/>
  <c r="U104" i="14" s="1"/>
  <c r="T91" i="14"/>
  <c r="U91" i="14" s="1"/>
  <c r="R101" i="14"/>
  <c r="R112" i="14"/>
  <c r="U112" i="14" s="1"/>
  <c r="R102" i="14"/>
  <c r="U102" i="14" s="1"/>
  <c r="R92" i="14"/>
  <c r="R220" i="14"/>
  <c r="U220" i="14" s="1"/>
  <c r="R212" i="14"/>
  <c r="U212" i="14" s="1"/>
  <c r="R210" i="14"/>
  <c r="T200" i="14"/>
  <c r="U200" i="14" s="1"/>
  <c r="R219" i="14"/>
  <c r="U219" i="14" s="1"/>
  <c r="R211" i="14"/>
  <c r="U211" i="14" s="1"/>
  <c r="R218" i="14"/>
  <c r="U218" i="14" s="1"/>
  <c r="R217" i="14"/>
  <c r="U217" i="14" s="1"/>
  <c r="R216" i="14"/>
  <c r="U216" i="14" s="1"/>
  <c r="R201" i="14"/>
  <c r="R215" i="14"/>
  <c r="U215" i="14" s="1"/>
  <c r="R222" i="14"/>
  <c r="U222" i="14" s="1"/>
  <c r="R214" i="14"/>
  <c r="U214" i="14" s="1"/>
  <c r="R221" i="14"/>
  <c r="U221" i="14" s="1"/>
  <c r="R213" i="14"/>
  <c r="U213" i="14" s="1"/>
  <c r="R51" i="14"/>
  <c r="U51" i="14" s="1"/>
  <c r="R48" i="14"/>
  <c r="U48" i="14" s="1"/>
  <c r="R50" i="14"/>
  <c r="U50" i="14" s="1"/>
  <c r="R46" i="14"/>
  <c r="R49" i="14"/>
  <c r="U49" i="14" s="1"/>
  <c r="R58" i="14"/>
  <c r="U58" i="14" s="1"/>
  <c r="R55" i="14"/>
  <c r="U55" i="14" s="1"/>
  <c r="R57" i="14"/>
  <c r="U57" i="14" s="1"/>
  <c r="R56" i="14"/>
  <c r="U56" i="14" s="1"/>
  <c r="R54" i="14"/>
  <c r="U54" i="14" s="1"/>
  <c r="R53" i="14"/>
  <c r="U53" i="14" s="1"/>
  <c r="R52" i="14"/>
  <c r="U52" i="14" s="1"/>
  <c r="R47" i="14"/>
  <c r="U47" i="14" s="1"/>
  <c r="R332" i="14"/>
  <c r="R324" i="14"/>
  <c r="R331" i="14"/>
  <c r="R323" i="14"/>
  <c r="R321" i="14"/>
  <c r="T311" i="14"/>
  <c r="U311" i="14" s="1"/>
  <c r="R330" i="14"/>
  <c r="R322" i="14"/>
  <c r="R329" i="14"/>
  <c r="R328" i="14"/>
  <c r="R327" i="14"/>
  <c r="R312" i="14"/>
  <c r="R326" i="14"/>
  <c r="R333" i="14"/>
  <c r="R325" i="14"/>
  <c r="Q147" i="14"/>
  <c r="Q156" i="14"/>
  <c r="R271" i="14"/>
  <c r="U271" i="14" s="1"/>
  <c r="R278" i="14"/>
  <c r="U278" i="14" s="1"/>
  <c r="R270" i="14"/>
  <c r="U270" i="14" s="1"/>
  <c r="R277" i="14"/>
  <c r="U277" i="14" s="1"/>
  <c r="R269" i="14"/>
  <c r="U269" i="14" s="1"/>
  <c r="R274" i="14"/>
  <c r="U274" i="14" s="1"/>
  <c r="R273" i="14"/>
  <c r="U273" i="14" s="1"/>
  <c r="R276" i="14"/>
  <c r="U276" i="14" s="1"/>
  <c r="R267" i="14"/>
  <c r="U267" i="14" s="1"/>
  <c r="R266" i="14"/>
  <c r="R275" i="14"/>
  <c r="U275" i="14" s="1"/>
  <c r="R268" i="14"/>
  <c r="U268" i="14" s="1"/>
  <c r="R257" i="14"/>
  <c r="T256" i="14"/>
  <c r="U256" i="14" s="1"/>
  <c r="R272" i="14"/>
  <c r="U272" i="14" s="1"/>
  <c r="B149" i="14"/>
  <c r="R144" i="14"/>
  <c r="R146" i="14" s="1"/>
  <c r="Q301" i="1"/>
  <c r="Q303" i="1" s="1"/>
  <c r="P304" i="1"/>
  <c r="P313" i="1"/>
  <c r="M283" i="5"/>
  <c r="N283" i="5" s="1"/>
  <c r="T283" i="1" s="1"/>
  <c r="Y283" i="1" s="1"/>
  <c r="M284" i="5"/>
  <c r="N284" i="5" s="1"/>
  <c r="T284" i="1" s="1"/>
  <c r="O284" i="5"/>
  <c r="M285" i="5"/>
  <c r="N285" i="5" s="1"/>
  <c r="T285" i="1" s="1"/>
  <c r="O285" i="5"/>
  <c r="M286" i="5"/>
  <c r="N286" i="5" s="1"/>
  <c r="T286" i="1" s="1"/>
  <c r="O286" i="5"/>
  <c r="O287" i="5"/>
  <c r="M287" i="5"/>
  <c r="N287" i="5" s="1"/>
  <c r="T287" i="1" s="1"/>
  <c r="M288" i="5"/>
  <c r="N288" i="5" s="1"/>
  <c r="T288" i="1" s="1"/>
  <c r="O288" i="5"/>
  <c r="O289" i="5"/>
  <c r="M289" i="5"/>
  <c r="N289" i="5" s="1"/>
  <c r="T289" i="1" s="1"/>
  <c r="M114" i="5"/>
  <c r="N114" i="5" s="1"/>
  <c r="T114" i="1" s="1"/>
  <c r="L63" i="5"/>
  <c r="F63" i="5"/>
  <c r="G63" i="5" s="1"/>
  <c r="H63" i="5"/>
  <c r="L62" i="5"/>
  <c r="H62" i="5"/>
  <c r="F62" i="5"/>
  <c r="G62" i="5" s="1"/>
  <c r="L64" i="5"/>
  <c r="F64" i="5"/>
  <c r="G64" i="5" s="1"/>
  <c r="H64" i="5"/>
  <c r="L69" i="5"/>
  <c r="F69" i="5"/>
  <c r="G69" i="5" s="1"/>
  <c r="H69" i="5"/>
  <c r="F58" i="5"/>
  <c r="G58" i="5" s="1"/>
  <c r="H58" i="5"/>
  <c r="L58" i="5"/>
  <c r="F59" i="5"/>
  <c r="G59" i="5" s="1"/>
  <c r="H59" i="5"/>
  <c r="L59" i="5"/>
  <c r="H61" i="5"/>
  <c r="F61" i="5"/>
  <c r="G61" i="5" s="1"/>
  <c r="L61" i="5"/>
  <c r="L65" i="5"/>
  <c r="H65" i="5"/>
  <c r="F65" i="5"/>
  <c r="G65" i="5" s="1"/>
  <c r="L67" i="5"/>
  <c r="H67" i="5"/>
  <c r="F67" i="5"/>
  <c r="G67" i="5" s="1"/>
  <c r="F68" i="5"/>
  <c r="G68" i="5" s="1"/>
  <c r="L68" i="5"/>
  <c r="H68" i="5"/>
  <c r="H66" i="5"/>
  <c r="L66" i="5"/>
  <c r="F66" i="5"/>
  <c r="G66" i="5" s="1"/>
  <c r="L60" i="5"/>
  <c r="F60" i="5"/>
  <c r="G60" i="5" s="1"/>
  <c r="H60" i="5"/>
  <c r="R246" i="1"/>
  <c r="R248" i="1" s="1"/>
  <c r="Q249" i="1"/>
  <c r="Q258" i="1"/>
  <c r="H26" i="9"/>
  <c r="F26" i="9"/>
  <c r="G26" i="9" s="1"/>
  <c r="L26" i="9"/>
  <c r="M122" i="5"/>
  <c r="N122" i="5" s="1"/>
  <c r="T122" i="1" s="1"/>
  <c r="O122" i="5"/>
  <c r="H27" i="9"/>
  <c r="L27" i="9"/>
  <c r="F27" i="9"/>
  <c r="G27" i="9" s="1"/>
  <c r="L25" i="9"/>
  <c r="H25" i="9"/>
  <c r="F25" i="9"/>
  <c r="G25" i="9" s="1"/>
  <c r="O171" i="5"/>
  <c r="M171" i="5"/>
  <c r="N171" i="5" s="1"/>
  <c r="T171" i="1" s="1"/>
  <c r="L29" i="9"/>
  <c r="H29" i="9"/>
  <c r="F29" i="9"/>
  <c r="G29" i="9" s="1"/>
  <c r="O179" i="5"/>
  <c r="M179" i="5"/>
  <c r="N179" i="5" s="1"/>
  <c r="T179" i="1" s="1"/>
  <c r="H28" i="9"/>
  <c r="L28" i="9"/>
  <c r="F28" i="9"/>
  <c r="G28" i="9" s="1"/>
  <c r="M176" i="5"/>
  <c r="N176" i="5" s="1"/>
  <c r="T176" i="1" s="1"/>
  <c r="O176" i="5"/>
  <c r="M168" i="5"/>
  <c r="N168" i="5" s="1"/>
  <c r="T168" i="1" s="1"/>
  <c r="O168" i="5"/>
  <c r="O117" i="5"/>
  <c r="M117" i="5"/>
  <c r="N117" i="5" s="1"/>
  <c r="T117" i="1" s="1"/>
  <c r="F33" i="9"/>
  <c r="G33" i="9" s="1"/>
  <c r="H33" i="9"/>
  <c r="L33" i="9"/>
  <c r="L32" i="9"/>
  <c r="F32" i="9"/>
  <c r="G32" i="9" s="1"/>
  <c r="H32" i="9"/>
  <c r="O118" i="5"/>
  <c r="M118" i="5"/>
  <c r="N118" i="5" s="1"/>
  <c r="T118" i="1" s="1"/>
  <c r="O123" i="5"/>
  <c r="M123" i="5"/>
  <c r="N123" i="5" s="1"/>
  <c r="T123" i="1" s="1"/>
  <c r="O113" i="5"/>
  <c r="M113" i="5"/>
  <c r="O124" i="5"/>
  <c r="M124" i="5"/>
  <c r="N124" i="5" s="1"/>
  <c r="T124" i="1" s="1"/>
  <c r="M169" i="5"/>
  <c r="N169" i="5" s="1"/>
  <c r="T169" i="1" s="1"/>
  <c r="O169" i="5"/>
  <c r="H31" i="9"/>
  <c r="L31" i="9"/>
  <c r="F31" i="9"/>
  <c r="G31" i="9" s="1"/>
  <c r="O120" i="5"/>
  <c r="M120" i="5"/>
  <c r="N120" i="5" s="1"/>
  <c r="T120" i="1" s="1"/>
  <c r="M115" i="5"/>
  <c r="N115" i="5" s="1"/>
  <c r="T115" i="1" s="1"/>
  <c r="O115" i="5"/>
  <c r="F24" i="9"/>
  <c r="G24" i="9" s="1"/>
  <c r="L24" i="9"/>
  <c r="H24" i="9"/>
  <c r="L30" i="9"/>
  <c r="H30" i="9"/>
  <c r="F30" i="9"/>
  <c r="G30" i="9" s="1"/>
  <c r="M121" i="5"/>
  <c r="N121" i="5" s="1"/>
  <c r="T121" i="1" s="1"/>
  <c r="O121" i="5"/>
  <c r="M119" i="5"/>
  <c r="N119" i="5" s="1"/>
  <c r="T119" i="1" s="1"/>
  <c r="O119" i="5"/>
  <c r="O174" i="5"/>
  <c r="M174" i="5"/>
  <c r="N174" i="5" s="1"/>
  <c r="T174" i="1" s="1"/>
  <c r="O116" i="5"/>
  <c r="M116" i="5"/>
  <c r="N116" i="5" s="1"/>
  <c r="T116" i="1" s="1"/>
  <c r="L23" i="9"/>
  <c r="F23" i="9"/>
  <c r="G23" i="9" s="1"/>
  <c r="H23" i="9"/>
  <c r="O177" i="5"/>
  <c r="M177" i="5"/>
  <c r="N177" i="5" s="1"/>
  <c r="T177" i="1" s="1"/>
  <c r="M175" i="5"/>
  <c r="N175" i="5" s="1"/>
  <c r="T175" i="1" s="1"/>
  <c r="O175" i="5"/>
  <c r="L34" i="9"/>
  <c r="F34" i="9"/>
  <c r="G34" i="9" s="1"/>
  <c r="H34" i="9"/>
  <c r="M170" i="5"/>
  <c r="N170" i="5" s="1"/>
  <c r="T170" i="1" s="1"/>
  <c r="O170" i="5"/>
  <c r="O173" i="5"/>
  <c r="M173" i="5"/>
  <c r="N173" i="5" s="1"/>
  <c r="T173" i="1" s="1"/>
  <c r="M172" i="5"/>
  <c r="N172" i="5" s="1"/>
  <c r="T172" i="1" s="1"/>
  <c r="O172" i="5"/>
  <c r="O178" i="5"/>
  <c r="M178" i="5"/>
  <c r="N178" i="5" s="1"/>
  <c r="T178" i="1" s="1"/>
  <c r="R193" i="8"/>
  <c r="U174" i="8"/>
  <c r="P35" i="8"/>
  <c r="P27" i="8"/>
  <c r="R195" i="8"/>
  <c r="U176" i="8"/>
  <c r="U184" i="8"/>
  <c r="R203" i="8"/>
  <c r="R204" i="8"/>
  <c r="U185" i="8"/>
  <c r="R201" i="8"/>
  <c r="U182" i="8"/>
  <c r="U183" i="8"/>
  <c r="R202" i="8"/>
  <c r="P121" i="8"/>
  <c r="P113" i="8"/>
  <c r="U178" i="8"/>
  <c r="R197" i="8"/>
  <c r="B114" i="8"/>
  <c r="Q110" i="8"/>
  <c r="Q112" i="8" s="1"/>
  <c r="P60" i="8"/>
  <c r="P68" i="8"/>
  <c r="R200" i="8"/>
  <c r="U181" i="8"/>
  <c r="B28" i="8"/>
  <c r="Q24" i="8"/>
  <c r="Q26" i="8" s="1"/>
  <c r="R194" i="8"/>
  <c r="U175" i="8"/>
  <c r="R196" i="8"/>
  <c r="U177" i="8"/>
  <c r="R199" i="8"/>
  <c r="U180" i="8"/>
  <c r="U179" i="8"/>
  <c r="R198" i="8"/>
  <c r="Q57" i="8"/>
  <c r="Q59" i="8" s="1"/>
  <c r="B61" i="8"/>
  <c r="T192" i="1"/>
  <c r="U192" i="1" s="1"/>
  <c r="R214" i="1"/>
  <c r="R205" i="1"/>
  <c r="R209" i="1"/>
  <c r="R213" i="1"/>
  <c r="R206" i="1"/>
  <c r="R210" i="1"/>
  <c r="R207" i="1"/>
  <c r="R211" i="1"/>
  <c r="R204" i="1"/>
  <c r="R208" i="1"/>
  <c r="R212" i="1"/>
  <c r="Q193" i="1"/>
  <c r="Q202" i="1"/>
  <c r="Q136" i="1"/>
  <c r="Q138" i="1" s="1"/>
  <c r="P148" i="1"/>
  <c r="P139" i="1"/>
  <c r="P81" i="1"/>
  <c r="P83" i="1" s="1"/>
  <c r="P93" i="1" s="1"/>
  <c r="N84" i="1"/>
  <c r="N93" i="1"/>
  <c r="Q93" i="1"/>
  <c r="Q84" i="1"/>
  <c r="K223" i="5"/>
  <c r="K224" i="5"/>
  <c r="K225" i="5"/>
  <c r="K226" i="5"/>
  <c r="K227" i="5"/>
  <c r="K228" i="5"/>
  <c r="K229" i="5"/>
  <c r="K230" i="5"/>
  <c r="K231" i="5"/>
  <c r="K232" i="5"/>
  <c r="K233" i="5"/>
  <c r="X50" i="14" l="1"/>
  <c r="W50" i="14"/>
  <c r="X51" i="14"/>
  <c r="W51" i="14"/>
  <c r="R164" i="14"/>
  <c r="U164" i="14" s="1"/>
  <c r="R163" i="14"/>
  <c r="U163" i="14" s="1"/>
  <c r="R162" i="14"/>
  <c r="U162" i="14" s="1"/>
  <c r="R147" i="14"/>
  <c r="R161" i="14"/>
  <c r="U161" i="14" s="1"/>
  <c r="R168" i="14"/>
  <c r="U168" i="14" s="1"/>
  <c r="R160" i="14"/>
  <c r="U160" i="14" s="1"/>
  <c r="R167" i="14"/>
  <c r="U167" i="14" s="1"/>
  <c r="R159" i="14"/>
  <c r="U159" i="14" s="1"/>
  <c r="R166" i="14"/>
  <c r="U166" i="14" s="1"/>
  <c r="R158" i="14"/>
  <c r="U158" i="14" s="1"/>
  <c r="R156" i="14"/>
  <c r="T146" i="14"/>
  <c r="U146" i="14" s="1"/>
  <c r="R165" i="14"/>
  <c r="U165" i="14" s="1"/>
  <c r="R157" i="14"/>
  <c r="U157" i="14" s="1"/>
  <c r="W271" i="14"/>
  <c r="X271" i="14"/>
  <c r="U324" i="14"/>
  <c r="R343" i="14"/>
  <c r="X213" i="14"/>
  <c r="W213" i="14"/>
  <c r="X102" i="14"/>
  <c r="W102" i="14"/>
  <c r="U323" i="14"/>
  <c r="R342" i="14"/>
  <c r="X112" i="14"/>
  <c r="W112" i="14"/>
  <c r="X272" i="14"/>
  <c r="W272" i="14"/>
  <c r="R344" i="14"/>
  <c r="U325" i="14"/>
  <c r="X52" i="14"/>
  <c r="W52" i="14"/>
  <c r="X222" i="14"/>
  <c r="W222" i="14"/>
  <c r="X107" i="14"/>
  <c r="W107" i="14"/>
  <c r="U331" i="14"/>
  <c r="R350" i="14"/>
  <c r="X214" i="14"/>
  <c r="W214" i="14"/>
  <c r="R352" i="14"/>
  <c r="U333" i="14"/>
  <c r="X53" i="14"/>
  <c r="W53" i="14"/>
  <c r="X215" i="14"/>
  <c r="W215" i="14"/>
  <c r="X104" i="14"/>
  <c r="W104" i="14"/>
  <c r="X268" i="14"/>
  <c r="W268" i="14"/>
  <c r="U326" i="14"/>
  <c r="R345" i="14"/>
  <c r="W54" i="14"/>
  <c r="X54" i="14"/>
  <c r="W113" i="14"/>
  <c r="X113" i="14"/>
  <c r="X220" i="14"/>
  <c r="W220" i="14"/>
  <c r="X221" i="14"/>
  <c r="W221" i="14"/>
  <c r="X275" i="14"/>
  <c r="W275" i="14"/>
  <c r="X56" i="14"/>
  <c r="W56" i="14"/>
  <c r="X216" i="14"/>
  <c r="W216" i="14"/>
  <c r="X108" i="14"/>
  <c r="W108" i="14"/>
  <c r="W48" i="14"/>
  <c r="X48" i="14"/>
  <c r="X47" i="14"/>
  <c r="W47" i="14"/>
  <c r="R346" i="14"/>
  <c r="U327" i="14"/>
  <c r="X57" i="14"/>
  <c r="W57" i="14"/>
  <c r="X217" i="14"/>
  <c r="W217" i="14"/>
  <c r="X103" i="14"/>
  <c r="W103" i="14"/>
  <c r="X277" i="14"/>
  <c r="W277" i="14"/>
  <c r="W270" i="14"/>
  <c r="X270" i="14"/>
  <c r="R351" i="14"/>
  <c r="U332" i="14"/>
  <c r="U328" i="14"/>
  <c r="R347" i="14"/>
  <c r="X218" i="14"/>
  <c r="W218" i="14"/>
  <c r="X276" i="14"/>
  <c r="W276" i="14"/>
  <c r="X211" i="14"/>
  <c r="W211" i="14"/>
  <c r="X58" i="14"/>
  <c r="W58" i="14"/>
  <c r="W105" i="14"/>
  <c r="X105" i="14"/>
  <c r="X274" i="14"/>
  <c r="W274" i="14"/>
  <c r="U330" i="14"/>
  <c r="R349" i="14"/>
  <c r="X49" i="14"/>
  <c r="W49" i="14"/>
  <c r="W111" i="14"/>
  <c r="X111" i="14"/>
  <c r="X212" i="14"/>
  <c r="W212" i="14"/>
  <c r="X278" i="14"/>
  <c r="W278" i="14"/>
  <c r="X267" i="14"/>
  <c r="W267" i="14"/>
  <c r="X55" i="14"/>
  <c r="W55" i="14"/>
  <c r="X109" i="14"/>
  <c r="W109" i="14"/>
  <c r="R348" i="14"/>
  <c r="U329" i="14"/>
  <c r="X110" i="14"/>
  <c r="W110" i="14"/>
  <c r="W273" i="14"/>
  <c r="X273" i="14"/>
  <c r="R341" i="14"/>
  <c r="U322" i="14"/>
  <c r="X219" i="14"/>
  <c r="W219" i="14"/>
  <c r="X269" i="14"/>
  <c r="W269" i="14"/>
  <c r="X106" i="14"/>
  <c r="W106" i="14"/>
  <c r="R301" i="1"/>
  <c r="Q304" i="1"/>
  <c r="Q313" i="1"/>
  <c r="R267" i="1"/>
  <c r="U267" i="1" s="1"/>
  <c r="X267" i="1" s="1"/>
  <c r="R268" i="1"/>
  <c r="U268" i="1" s="1"/>
  <c r="R269" i="1"/>
  <c r="U269" i="1" s="1"/>
  <c r="W269" i="1" s="1"/>
  <c r="R270" i="1"/>
  <c r="U270" i="1" s="1"/>
  <c r="X270" i="1" s="1"/>
  <c r="R259" i="1"/>
  <c r="U259" i="1" s="1"/>
  <c r="X259" i="1" s="1"/>
  <c r="R260" i="1"/>
  <c r="U260" i="1" s="1"/>
  <c r="X260" i="1" s="1"/>
  <c r="R261" i="1"/>
  <c r="U261" i="1" s="1"/>
  <c r="X261" i="1" s="1"/>
  <c r="R262" i="1"/>
  <c r="U262" i="1" s="1"/>
  <c r="R263" i="1"/>
  <c r="U263" i="1" s="1"/>
  <c r="R264" i="1"/>
  <c r="U264" i="1" s="1"/>
  <c r="W264" i="1" s="1"/>
  <c r="R265" i="1"/>
  <c r="U265" i="1" s="1"/>
  <c r="W265" i="1" s="1"/>
  <c r="R266" i="1"/>
  <c r="U266" i="1" s="1"/>
  <c r="X266" i="1" s="1"/>
  <c r="X268" i="1"/>
  <c r="W268" i="1"/>
  <c r="O67" i="5"/>
  <c r="M67" i="5"/>
  <c r="N67" i="5" s="1"/>
  <c r="O59" i="5"/>
  <c r="M59" i="5"/>
  <c r="N59" i="5" s="1"/>
  <c r="M64" i="5"/>
  <c r="N64" i="5" s="1"/>
  <c r="O64" i="5"/>
  <c r="N113" i="5"/>
  <c r="T113" i="1" s="1"/>
  <c r="M58" i="5"/>
  <c r="N58" i="5" s="1"/>
  <c r="O58" i="5"/>
  <c r="M60" i="5"/>
  <c r="N60" i="5" s="1"/>
  <c r="O60" i="5"/>
  <c r="M61" i="5"/>
  <c r="N61" i="5" s="1"/>
  <c r="O61" i="5"/>
  <c r="O66" i="5"/>
  <c r="M66" i="5"/>
  <c r="N66" i="5" s="1"/>
  <c r="X263" i="1"/>
  <c r="W263" i="1"/>
  <c r="M62" i="5"/>
  <c r="N62" i="5" s="1"/>
  <c r="O62" i="5"/>
  <c r="O68" i="5"/>
  <c r="M68" i="5"/>
  <c r="N68" i="5" s="1"/>
  <c r="O65" i="5"/>
  <c r="M65" i="5"/>
  <c r="N65" i="5" s="1"/>
  <c r="O63" i="5"/>
  <c r="M63" i="5"/>
  <c r="N63" i="5" s="1"/>
  <c r="O69" i="5"/>
  <c r="M69" i="5"/>
  <c r="N69" i="5" s="1"/>
  <c r="X262" i="1"/>
  <c r="W262" i="1"/>
  <c r="R249" i="1"/>
  <c r="R258" i="1"/>
  <c r="T248" i="1"/>
  <c r="U248" i="1" s="1"/>
  <c r="O29" i="9"/>
  <c r="M29" i="9"/>
  <c r="N29" i="9" s="1"/>
  <c r="O31" i="9"/>
  <c r="M31" i="9"/>
  <c r="N31" i="9" s="1"/>
  <c r="M33" i="9"/>
  <c r="N33" i="9" s="1"/>
  <c r="O33" i="9"/>
  <c r="M25" i="9"/>
  <c r="N25" i="9" s="1"/>
  <c r="O25" i="9"/>
  <c r="O34" i="9"/>
  <c r="M34" i="9"/>
  <c r="N34" i="9" s="1"/>
  <c r="M27" i="9"/>
  <c r="N27" i="9" s="1"/>
  <c r="O27" i="9"/>
  <c r="O30" i="9"/>
  <c r="M30" i="9"/>
  <c r="N30" i="9" s="1"/>
  <c r="M32" i="9"/>
  <c r="N32" i="9" s="1"/>
  <c r="O32" i="9"/>
  <c r="O24" i="9"/>
  <c r="M24" i="9"/>
  <c r="N24" i="9" s="1"/>
  <c r="M26" i="9"/>
  <c r="N26" i="9" s="1"/>
  <c r="O26" i="9"/>
  <c r="O28" i="9"/>
  <c r="M28" i="9"/>
  <c r="N28" i="9" s="1"/>
  <c r="O23" i="9"/>
  <c r="M23" i="9"/>
  <c r="N23" i="9" s="1"/>
  <c r="U203" i="1"/>
  <c r="B62" i="8"/>
  <c r="R57" i="8"/>
  <c r="R59" i="8" s="1"/>
  <c r="X180" i="8"/>
  <c r="W180" i="8"/>
  <c r="Q68" i="8"/>
  <c r="Q60" i="8"/>
  <c r="W178" i="8"/>
  <c r="X178" i="8"/>
  <c r="W177" i="8"/>
  <c r="X177" i="8"/>
  <c r="X183" i="8"/>
  <c r="W183" i="8"/>
  <c r="R110" i="8"/>
  <c r="R112" i="8" s="1"/>
  <c r="B115" i="8"/>
  <c r="X179" i="8"/>
  <c r="W179" i="8"/>
  <c r="X185" i="8"/>
  <c r="W185" i="8"/>
  <c r="B29" i="8"/>
  <c r="R24" i="8"/>
  <c r="R26" i="8" s="1"/>
  <c r="X181" i="8"/>
  <c r="W181" i="8"/>
  <c r="Q121" i="8"/>
  <c r="Q113" i="8"/>
  <c r="X182" i="8"/>
  <c r="W182" i="8"/>
  <c r="W184" i="8"/>
  <c r="X184" i="8"/>
  <c r="W174" i="8"/>
  <c r="X174" i="8"/>
  <c r="X175" i="8"/>
  <c r="W175" i="8"/>
  <c r="Q35" i="8"/>
  <c r="Q27" i="8"/>
  <c r="X176" i="8"/>
  <c r="W176" i="8"/>
  <c r="U210" i="1"/>
  <c r="U205" i="1"/>
  <c r="U212" i="1"/>
  <c r="U211" i="1"/>
  <c r="U206" i="1"/>
  <c r="U208" i="1"/>
  <c r="U207" i="1"/>
  <c r="U213" i="1"/>
  <c r="U204" i="1"/>
  <c r="U214" i="1"/>
  <c r="U209" i="1"/>
  <c r="R202" i="1"/>
  <c r="R193" i="1"/>
  <c r="R138" i="1"/>
  <c r="R149" i="1" s="1"/>
  <c r="Q148" i="1"/>
  <c r="Q139" i="1"/>
  <c r="R81" i="1"/>
  <c r="R83" i="1" s="1"/>
  <c r="P84" i="1"/>
  <c r="X322" i="14" l="1"/>
  <c r="W322" i="14"/>
  <c r="J276" i="14"/>
  <c r="H276" i="14"/>
  <c r="G276" i="14"/>
  <c r="Q276" i="14"/>
  <c r="Q295" i="14" s="1"/>
  <c r="O276" i="14"/>
  <c r="O295" i="14" s="1"/>
  <c r="N276" i="14"/>
  <c r="N295" i="14" s="1"/>
  <c r="L276" i="14"/>
  <c r="K276" i="14"/>
  <c r="P276" i="14"/>
  <c r="P295" i="14" s="1"/>
  <c r="I276" i="14"/>
  <c r="P221" i="14"/>
  <c r="P240" i="14" s="1"/>
  <c r="N221" i="14"/>
  <c r="N240" i="14" s="1"/>
  <c r="L221" i="14"/>
  <c r="K221" i="14"/>
  <c r="J221" i="14"/>
  <c r="I221" i="14"/>
  <c r="H221" i="14"/>
  <c r="G221" i="14"/>
  <c r="Q221" i="14"/>
  <c r="O221" i="14"/>
  <c r="O240" i="14" s="1"/>
  <c r="P53" i="14"/>
  <c r="P72" i="14" s="1"/>
  <c r="O53" i="14"/>
  <c r="O72" i="14" s="1"/>
  <c r="N53" i="14"/>
  <c r="N72" i="14" s="1"/>
  <c r="L53" i="14"/>
  <c r="L72" i="14" s="1"/>
  <c r="J53" i="14"/>
  <c r="K53" i="14"/>
  <c r="K72" i="14" s="1"/>
  <c r="I53" i="14"/>
  <c r="H53" i="14"/>
  <c r="G53" i="14"/>
  <c r="Q53" i="14"/>
  <c r="Q218" i="14"/>
  <c r="P218" i="14"/>
  <c r="P237" i="14" s="1"/>
  <c r="O218" i="14"/>
  <c r="O237" i="14" s="1"/>
  <c r="N218" i="14"/>
  <c r="N237" i="14" s="1"/>
  <c r="K218" i="14"/>
  <c r="I218" i="14"/>
  <c r="H218" i="14"/>
  <c r="G218" i="14"/>
  <c r="L218" i="14"/>
  <c r="J218" i="14"/>
  <c r="X327" i="14"/>
  <c r="W327" i="14"/>
  <c r="P220" i="14"/>
  <c r="P239" i="14" s="1"/>
  <c r="O220" i="14"/>
  <c r="O239" i="14" s="1"/>
  <c r="N220" i="14"/>
  <c r="N239" i="14" s="1"/>
  <c r="L220" i="14"/>
  <c r="K220" i="14"/>
  <c r="J220" i="14"/>
  <c r="I220" i="14"/>
  <c r="G220" i="14"/>
  <c r="Q220" i="14"/>
  <c r="H220" i="14"/>
  <c r="X333" i="14"/>
  <c r="W333" i="14"/>
  <c r="Q112" i="14"/>
  <c r="P112" i="14"/>
  <c r="O112" i="14"/>
  <c r="O131" i="14" s="1"/>
  <c r="N112" i="14"/>
  <c r="N131" i="14" s="1"/>
  <c r="L112" i="14"/>
  <c r="L131" i="14" s="1"/>
  <c r="K112" i="14"/>
  <c r="J112" i="14"/>
  <c r="H112" i="14"/>
  <c r="I112" i="14"/>
  <c r="G112" i="14"/>
  <c r="W158" i="14"/>
  <c r="X158" i="14"/>
  <c r="Q273" i="14"/>
  <c r="Q292" i="14" s="1"/>
  <c r="O273" i="14"/>
  <c r="O292" i="14" s="1"/>
  <c r="N273" i="14"/>
  <c r="N292" i="14" s="1"/>
  <c r="L273" i="14"/>
  <c r="K273" i="14"/>
  <c r="J273" i="14"/>
  <c r="I273" i="14"/>
  <c r="H273" i="14"/>
  <c r="P273" i="14"/>
  <c r="P292" i="14" s="1"/>
  <c r="G273" i="14"/>
  <c r="Q111" i="14"/>
  <c r="P111" i="14"/>
  <c r="O111" i="14"/>
  <c r="O130" i="14" s="1"/>
  <c r="N111" i="14"/>
  <c r="N130" i="14" s="1"/>
  <c r="K111" i="14"/>
  <c r="I111" i="14"/>
  <c r="H111" i="14"/>
  <c r="G111" i="14"/>
  <c r="L111" i="14"/>
  <c r="L130" i="14" s="1"/>
  <c r="J111" i="14"/>
  <c r="W166" i="14"/>
  <c r="X166" i="14"/>
  <c r="Q49" i="14"/>
  <c r="P49" i="14"/>
  <c r="P68" i="14" s="1"/>
  <c r="N49" i="14"/>
  <c r="N68" i="14" s="1"/>
  <c r="L49" i="14"/>
  <c r="L68" i="14" s="1"/>
  <c r="K49" i="14"/>
  <c r="K68" i="14" s="1"/>
  <c r="J49" i="14"/>
  <c r="H49" i="14"/>
  <c r="I49" i="14"/>
  <c r="G49" i="14"/>
  <c r="O49" i="14"/>
  <c r="O68" i="14" s="1"/>
  <c r="Q47" i="14"/>
  <c r="P47" i="14"/>
  <c r="P66" i="14" s="1"/>
  <c r="O47" i="14"/>
  <c r="O66" i="14" s="1"/>
  <c r="N47" i="14"/>
  <c r="N66" i="14" s="1"/>
  <c r="H47" i="14"/>
  <c r="L47" i="14"/>
  <c r="L66" i="14" s="1"/>
  <c r="K47" i="14"/>
  <c r="K66" i="14" s="1"/>
  <c r="J47" i="14"/>
  <c r="I47" i="14"/>
  <c r="G47" i="14"/>
  <c r="N214" i="14"/>
  <c r="N233" i="14" s="1"/>
  <c r="K214" i="14"/>
  <c r="J214" i="14"/>
  <c r="I214" i="14"/>
  <c r="H214" i="14"/>
  <c r="G214" i="14"/>
  <c r="Q214" i="14"/>
  <c r="P214" i="14"/>
  <c r="P233" i="14" s="1"/>
  <c r="O214" i="14"/>
  <c r="O233" i="14" s="1"/>
  <c r="L214" i="14"/>
  <c r="X159" i="14"/>
  <c r="W159" i="14"/>
  <c r="H110" i="14"/>
  <c r="Q110" i="14"/>
  <c r="O110" i="14"/>
  <c r="O129" i="14" s="1"/>
  <c r="L110" i="14"/>
  <c r="L129" i="14" s="1"/>
  <c r="K110" i="14"/>
  <c r="J110" i="14"/>
  <c r="I110" i="14"/>
  <c r="P110" i="14"/>
  <c r="N110" i="14"/>
  <c r="N129" i="14" s="1"/>
  <c r="G110" i="14"/>
  <c r="X328" i="14"/>
  <c r="W328" i="14"/>
  <c r="P113" i="14"/>
  <c r="N113" i="14"/>
  <c r="N132" i="14" s="1"/>
  <c r="L113" i="14"/>
  <c r="L132" i="14" s="1"/>
  <c r="K113" i="14"/>
  <c r="J113" i="14"/>
  <c r="I113" i="14"/>
  <c r="H113" i="14"/>
  <c r="G113" i="14"/>
  <c r="Q113" i="14"/>
  <c r="O113" i="14"/>
  <c r="O132" i="14" s="1"/>
  <c r="X323" i="14"/>
  <c r="W323" i="14"/>
  <c r="X167" i="14"/>
  <c r="W167" i="14"/>
  <c r="X329" i="14"/>
  <c r="W329" i="14"/>
  <c r="X332" i="14"/>
  <c r="W332" i="14"/>
  <c r="L102" i="14"/>
  <c r="L121" i="14" s="1"/>
  <c r="K102" i="14"/>
  <c r="I102" i="14"/>
  <c r="Q102" i="14"/>
  <c r="O102" i="14"/>
  <c r="O121" i="14" s="1"/>
  <c r="N102" i="14"/>
  <c r="N121" i="14" s="1"/>
  <c r="J102" i="14"/>
  <c r="P102" i="14"/>
  <c r="H102" i="14"/>
  <c r="G102" i="14"/>
  <c r="X160" i="14"/>
  <c r="W160" i="14"/>
  <c r="X330" i="14"/>
  <c r="W330" i="14"/>
  <c r="Q48" i="14"/>
  <c r="O48" i="14"/>
  <c r="O67" i="14" s="1"/>
  <c r="N48" i="14"/>
  <c r="N67" i="14" s="1"/>
  <c r="L48" i="14"/>
  <c r="L67" i="14" s="1"/>
  <c r="K48" i="14"/>
  <c r="K67" i="14" s="1"/>
  <c r="J48" i="14"/>
  <c r="I48" i="14"/>
  <c r="H48" i="14"/>
  <c r="G48" i="14"/>
  <c r="P48" i="14"/>
  <c r="P67" i="14" s="1"/>
  <c r="O54" i="14"/>
  <c r="O73" i="14" s="1"/>
  <c r="N54" i="14"/>
  <c r="N73" i="14" s="1"/>
  <c r="L54" i="14"/>
  <c r="L73" i="14" s="1"/>
  <c r="K54" i="14"/>
  <c r="K73" i="14" s="1"/>
  <c r="J54" i="14"/>
  <c r="H54" i="14"/>
  <c r="G54" i="14"/>
  <c r="Q54" i="14"/>
  <c r="P54" i="14"/>
  <c r="P73" i="14" s="1"/>
  <c r="I54" i="14"/>
  <c r="X331" i="14"/>
  <c r="W331" i="14"/>
  <c r="X168" i="14"/>
  <c r="W168" i="14"/>
  <c r="H269" i="14"/>
  <c r="Q269" i="14"/>
  <c r="Q288" i="14" s="1"/>
  <c r="O269" i="14"/>
  <c r="O288" i="14" s="1"/>
  <c r="L269" i="14"/>
  <c r="K269" i="14"/>
  <c r="J269" i="14"/>
  <c r="I269" i="14"/>
  <c r="P269" i="14"/>
  <c r="P288" i="14" s="1"/>
  <c r="N269" i="14"/>
  <c r="N288" i="14" s="1"/>
  <c r="G269" i="14"/>
  <c r="K109" i="14"/>
  <c r="I109" i="14"/>
  <c r="H109" i="14"/>
  <c r="G109" i="14"/>
  <c r="P109" i="14"/>
  <c r="O109" i="14"/>
  <c r="O128" i="14" s="1"/>
  <c r="N109" i="14"/>
  <c r="N128" i="14" s="1"/>
  <c r="L109" i="14"/>
  <c r="L128" i="14" s="1"/>
  <c r="Q109" i="14"/>
  <c r="J109" i="14"/>
  <c r="O108" i="14"/>
  <c r="O127" i="14" s="1"/>
  <c r="L108" i="14"/>
  <c r="L127" i="14" s="1"/>
  <c r="K108" i="14"/>
  <c r="J108" i="14"/>
  <c r="I108" i="14"/>
  <c r="H108" i="14"/>
  <c r="G108" i="14"/>
  <c r="Q108" i="14"/>
  <c r="P108" i="14"/>
  <c r="N108" i="14"/>
  <c r="N127" i="14" s="1"/>
  <c r="P107" i="14"/>
  <c r="O107" i="14"/>
  <c r="O126" i="14" s="1"/>
  <c r="N107" i="14"/>
  <c r="N126" i="14" s="1"/>
  <c r="L107" i="14"/>
  <c r="L126" i="14" s="1"/>
  <c r="K107" i="14"/>
  <c r="J107" i="14"/>
  <c r="I107" i="14"/>
  <c r="G107" i="14"/>
  <c r="Q107" i="14"/>
  <c r="H107" i="14"/>
  <c r="P213" i="14"/>
  <c r="P232" i="14" s="1"/>
  <c r="N213" i="14"/>
  <c r="N232" i="14" s="1"/>
  <c r="L213" i="14"/>
  <c r="K213" i="14"/>
  <c r="J213" i="14"/>
  <c r="I213" i="14"/>
  <c r="H213" i="14"/>
  <c r="G213" i="14"/>
  <c r="Q213" i="14"/>
  <c r="O213" i="14"/>
  <c r="O232" i="14" s="1"/>
  <c r="X161" i="14"/>
  <c r="W161" i="14"/>
  <c r="O274" i="14"/>
  <c r="O293" i="14" s="1"/>
  <c r="L274" i="14"/>
  <c r="K274" i="14"/>
  <c r="J274" i="14"/>
  <c r="I274" i="14"/>
  <c r="H274" i="14"/>
  <c r="G274" i="14"/>
  <c r="Q274" i="14"/>
  <c r="Q293" i="14" s="1"/>
  <c r="P274" i="14"/>
  <c r="P293" i="14" s="1"/>
  <c r="N274" i="14"/>
  <c r="N293" i="14" s="1"/>
  <c r="Q270" i="14"/>
  <c r="Q289" i="14" s="1"/>
  <c r="P270" i="14"/>
  <c r="P289" i="14" s="1"/>
  <c r="O270" i="14"/>
  <c r="O289" i="14" s="1"/>
  <c r="L270" i="14"/>
  <c r="J270" i="14"/>
  <c r="I270" i="14"/>
  <c r="H270" i="14"/>
  <c r="G270" i="14"/>
  <c r="N270" i="14"/>
  <c r="N289" i="14" s="1"/>
  <c r="K270" i="14"/>
  <c r="X326" i="14"/>
  <c r="W326" i="14"/>
  <c r="N55" i="14"/>
  <c r="N74" i="14" s="1"/>
  <c r="J55" i="14"/>
  <c r="L55" i="14"/>
  <c r="L74" i="14" s="1"/>
  <c r="K55" i="14"/>
  <c r="K74" i="14" s="1"/>
  <c r="I55" i="14"/>
  <c r="G55" i="14"/>
  <c r="H55" i="14"/>
  <c r="Q55" i="14"/>
  <c r="P55" i="14"/>
  <c r="P74" i="14" s="1"/>
  <c r="O55" i="14"/>
  <c r="O74" i="14" s="1"/>
  <c r="I216" i="14"/>
  <c r="G216" i="14"/>
  <c r="P216" i="14"/>
  <c r="P235" i="14" s="1"/>
  <c r="N216" i="14"/>
  <c r="N235" i="14" s="1"/>
  <c r="L216" i="14"/>
  <c r="K216" i="14"/>
  <c r="J216" i="14"/>
  <c r="Q216" i="14"/>
  <c r="O216" i="14"/>
  <c r="O235" i="14" s="1"/>
  <c r="H216" i="14"/>
  <c r="J268" i="14"/>
  <c r="H268" i="14"/>
  <c r="G268" i="14"/>
  <c r="Q268" i="14"/>
  <c r="Q287" i="14" s="1"/>
  <c r="O268" i="14"/>
  <c r="O287" i="14" s="1"/>
  <c r="N268" i="14"/>
  <c r="N287" i="14" s="1"/>
  <c r="L268" i="14"/>
  <c r="K268" i="14"/>
  <c r="P268" i="14"/>
  <c r="P287" i="14" s="1"/>
  <c r="I268" i="14"/>
  <c r="N222" i="14"/>
  <c r="N241" i="14" s="1"/>
  <c r="K222" i="14"/>
  <c r="J222" i="14"/>
  <c r="I222" i="14"/>
  <c r="H222" i="14"/>
  <c r="G222" i="14"/>
  <c r="Q222" i="14"/>
  <c r="P222" i="14"/>
  <c r="P241" i="14" s="1"/>
  <c r="O222" i="14"/>
  <c r="O241" i="14" s="1"/>
  <c r="L222" i="14"/>
  <c r="X162" i="14"/>
  <c r="W162" i="14"/>
  <c r="Q106" i="14"/>
  <c r="P106" i="14"/>
  <c r="O106" i="14"/>
  <c r="O125" i="14" s="1"/>
  <c r="N106" i="14"/>
  <c r="N125" i="14" s="1"/>
  <c r="L106" i="14"/>
  <c r="L125" i="14" s="1"/>
  <c r="J106" i="14"/>
  <c r="H106" i="14"/>
  <c r="G106" i="14"/>
  <c r="K106" i="14"/>
  <c r="I106" i="14"/>
  <c r="H277" i="14"/>
  <c r="Q277" i="14"/>
  <c r="Q296" i="14" s="1"/>
  <c r="O277" i="14"/>
  <c r="O296" i="14" s="1"/>
  <c r="L277" i="14"/>
  <c r="K277" i="14"/>
  <c r="J277" i="14"/>
  <c r="I277" i="14"/>
  <c r="P277" i="14"/>
  <c r="P296" i="14" s="1"/>
  <c r="G277" i="14"/>
  <c r="N277" i="14"/>
  <c r="N296" i="14" s="1"/>
  <c r="G105" i="14"/>
  <c r="Q105" i="14"/>
  <c r="P105" i="14"/>
  <c r="N105" i="14"/>
  <c r="N124" i="14" s="1"/>
  <c r="K105" i="14"/>
  <c r="J105" i="14"/>
  <c r="H105" i="14"/>
  <c r="L105" i="14"/>
  <c r="L124" i="14" s="1"/>
  <c r="O105" i="14"/>
  <c r="O124" i="14" s="1"/>
  <c r="I105" i="14"/>
  <c r="X324" i="14"/>
  <c r="W324" i="14"/>
  <c r="X163" i="14"/>
  <c r="W163" i="14"/>
  <c r="L267" i="14"/>
  <c r="J267" i="14"/>
  <c r="I267" i="14"/>
  <c r="H267" i="14"/>
  <c r="G267" i="14"/>
  <c r="Q267" i="14"/>
  <c r="Q286" i="14" s="1"/>
  <c r="P267" i="14"/>
  <c r="P286" i="14" s="1"/>
  <c r="O267" i="14"/>
  <c r="O286" i="14" s="1"/>
  <c r="N267" i="14"/>
  <c r="N286" i="14" s="1"/>
  <c r="K267" i="14"/>
  <c r="J58" i="14"/>
  <c r="I58" i="14"/>
  <c r="H58" i="14"/>
  <c r="G58" i="14"/>
  <c r="O58" i="14"/>
  <c r="O77" i="14" s="1"/>
  <c r="Q58" i="14"/>
  <c r="P58" i="14"/>
  <c r="P77" i="14" s="1"/>
  <c r="N58" i="14"/>
  <c r="N77" i="14" s="1"/>
  <c r="L58" i="14"/>
  <c r="L77" i="14" s="1"/>
  <c r="K58" i="14"/>
  <c r="K77" i="14" s="1"/>
  <c r="J103" i="14"/>
  <c r="I103" i="14"/>
  <c r="G103" i="14"/>
  <c r="Q103" i="14"/>
  <c r="O103" i="14"/>
  <c r="O122" i="14" s="1"/>
  <c r="K103" i="14"/>
  <c r="H103" i="14"/>
  <c r="P103" i="14"/>
  <c r="N103" i="14"/>
  <c r="N122" i="14" s="1"/>
  <c r="L103" i="14"/>
  <c r="L122" i="14" s="1"/>
  <c r="L56" i="14"/>
  <c r="L75" i="14" s="1"/>
  <c r="H56" i="14"/>
  <c r="K56" i="14"/>
  <c r="K75" i="14" s="1"/>
  <c r="I56" i="14"/>
  <c r="J56" i="14"/>
  <c r="G56" i="14"/>
  <c r="P56" i="14"/>
  <c r="P75" i="14" s="1"/>
  <c r="Q56" i="14"/>
  <c r="O56" i="14"/>
  <c r="O75" i="14" s="1"/>
  <c r="N56" i="14"/>
  <c r="N75" i="14" s="1"/>
  <c r="H104" i="14"/>
  <c r="G104" i="14"/>
  <c r="Q104" i="14"/>
  <c r="O104" i="14"/>
  <c r="O123" i="14" s="1"/>
  <c r="N104" i="14"/>
  <c r="N123" i="14" s="1"/>
  <c r="K104" i="14"/>
  <c r="L104" i="14"/>
  <c r="L123" i="14" s="1"/>
  <c r="P104" i="14"/>
  <c r="J104" i="14"/>
  <c r="I104" i="14"/>
  <c r="Q52" i="14"/>
  <c r="L52" i="14"/>
  <c r="L71" i="14" s="1"/>
  <c r="P52" i="14"/>
  <c r="P71" i="14" s="1"/>
  <c r="O52" i="14"/>
  <c r="O71" i="14" s="1"/>
  <c r="K52" i="14"/>
  <c r="K71" i="14" s="1"/>
  <c r="J52" i="14"/>
  <c r="I52" i="14"/>
  <c r="H52" i="14"/>
  <c r="G52" i="14"/>
  <c r="N52" i="14"/>
  <c r="N71" i="14" s="1"/>
  <c r="X164" i="14"/>
  <c r="W164" i="14"/>
  <c r="Q271" i="14"/>
  <c r="Q290" i="14" s="1"/>
  <c r="P271" i="14"/>
  <c r="P290" i="14" s="1"/>
  <c r="O271" i="14"/>
  <c r="O290" i="14" s="1"/>
  <c r="N271" i="14"/>
  <c r="N290" i="14" s="1"/>
  <c r="L271" i="14"/>
  <c r="J271" i="14"/>
  <c r="H271" i="14"/>
  <c r="G271" i="14"/>
  <c r="K271" i="14"/>
  <c r="I271" i="14"/>
  <c r="Q51" i="14"/>
  <c r="P51" i="14"/>
  <c r="P70" i="14" s="1"/>
  <c r="O51" i="14"/>
  <c r="O70" i="14" s="1"/>
  <c r="N51" i="14"/>
  <c r="N70" i="14" s="1"/>
  <c r="K51" i="14"/>
  <c r="K70" i="14" s="1"/>
  <c r="J51" i="14"/>
  <c r="I51" i="14"/>
  <c r="L51" i="14"/>
  <c r="L70" i="14" s="1"/>
  <c r="H51" i="14"/>
  <c r="G51" i="14"/>
  <c r="Q219" i="14"/>
  <c r="P219" i="14"/>
  <c r="P238" i="14" s="1"/>
  <c r="O219" i="14"/>
  <c r="O238" i="14" s="1"/>
  <c r="N219" i="14"/>
  <c r="N238" i="14" s="1"/>
  <c r="L219" i="14"/>
  <c r="K219" i="14"/>
  <c r="I219" i="14"/>
  <c r="G219" i="14"/>
  <c r="H219" i="14"/>
  <c r="J219" i="14"/>
  <c r="Q278" i="14"/>
  <c r="Q297" i="14" s="1"/>
  <c r="P278" i="14"/>
  <c r="P297" i="14" s="1"/>
  <c r="O278" i="14"/>
  <c r="O297" i="14" s="1"/>
  <c r="L278" i="14"/>
  <c r="J278" i="14"/>
  <c r="I278" i="14"/>
  <c r="H278" i="14"/>
  <c r="G278" i="14"/>
  <c r="N278" i="14"/>
  <c r="N297" i="14" s="1"/>
  <c r="K278" i="14"/>
  <c r="Q211" i="14"/>
  <c r="P211" i="14"/>
  <c r="P230" i="14" s="1"/>
  <c r="O211" i="14"/>
  <c r="O230" i="14" s="1"/>
  <c r="N211" i="14"/>
  <c r="N230" i="14" s="1"/>
  <c r="L211" i="14"/>
  <c r="K211" i="14"/>
  <c r="I211" i="14"/>
  <c r="G211" i="14"/>
  <c r="J211" i="14"/>
  <c r="H211" i="14"/>
  <c r="G217" i="14"/>
  <c r="Q217" i="14"/>
  <c r="P217" i="14"/>
  <c r="P236" i="14" s="1"/>
  <c r="N217" i="14"/>
  <c r="N236" i="14" s="1"/>
  <c r="K217" i="14"/>
  <c r="J217" i="14"/>
  <c r="I217" i="14"/>
  <c r="H217" i="14"/>
  <c r="O217" i="14"/>
  <c r="O236" i="14" s="1"/>
  <c r="L217" i="14"/>
  <c r="L275" i="14"/>
  <c r="J275" i="14"/>
  <c r="I275" i="14"/>
  <c r="H275" i="14"/>
  <c r="G275" i="14"/>
  <c r="Q275" i="14"/>
  <c r="Q294" i="14" s="1"/>
  <c r="P275" i="14"/>
  <c r="P294" i="14" s="1"/>
  <c r="O275" i="14"/>
  <c r="O294" i="14" s="1"/>
  <c r="N275" i="14"/>
  <c r="N294" i="14" s="1"/>
  <c r="K275" i="14"/>
  <c r="K215" i="14"/>
  <c r="I215" i="14"/>
  <c r="H215" i="14"/>
  <c r="G215" i="14"/>
  <c r="P215" i="14"/>
  <c r="P234" i="14" s="1"/>
  <c r="O215" i="14"/>
  <c r="O234" i="14" s="1"/>
  <c r="N215" i="14"/>
  <c r="N234" i="14" s="1"/>
  <c r="L215" i="14"/>
  <c r="Q215" i="14"/>
  <c r="J215" i="14"/>
  <c r="X325" i="14"/>
  <c r="W325" i="14"/>
  <c r="X157" i="14"/>
  <c r="W157" i="14"/>
  <c r="X165" i="14"/>
  <c r="W165" i="14"/>
  <c r="Q50" i="14"/>
  <c r="P50" i="14"/>
  <c r="P69" i="14" s="1"/>
  <c r="O50" i="14"/>
  <c r="O69" i="14" s="1"/>
  <c r="L50" i="14"/>
  <c r="L69" i="14" s="1"/>
  <c r="K50" i="14"/>
  <c r="K69" i="14" s="1"/>
  <c r="J50" i="14"/>
  <c r="I50" i="14"/>
  <c r="H50" i="14"/>
  <c r="G50" i="14"/>
  <c r="N50" i="14"/>
  <c r="N69" i="14" s="1"/>
  <c r="P212" i="14"/>
  <c r="P231" i="14" s="1"/>
  <c r="O212" i="14"/>
  <c r="O231" i="14" s="1"/>
  <c r="N212" i="14"/>
  <c r="N231" i="14" s="1"/>
  <c r="L212" i="14"/>
  <c r="K212" i="14"/>
  <c r="J212" i="14"/>
  <c r="I212" i="14"/>
  <c r="G212" i="14"/>
  <c r="Q212" i="14"/>
  <c r="H212" i="14"/>
  <c r="K57" i="14"/>
  <c r="K76" i="14" s="1"/>
  <c r="J57" i="14"/>
  <c r="I57" i="14"/>
  <c r="H57" i="14"/>
  <c r="G57" i="14"/>
  <c r="Q57" i="14"/>
  <c r="P57" i="14"/>
  <c r="P76" i="14" s="1"/>
  <c r="O57" i="14"/>
  <c r="O76" i="14" s="1"/>
  <c r="N57" i="14"/>
  <c r="N76" i="14" s="1"/>
  <c r="L57" i="14"/>
  <c r="L76" i="14" s="1"/>
  <c r="Q272" i="14"/>
  <c r="Q291" i="14" s="1"/>
  <c r="P272" i="14"/>
  <c r="P291" i="14" s="1"/>
  <c r="O272" i="14"/>
  <c r="O291" i="14" s="1"/>
  <c r="N272" i="14"/>
  <c r="N291" i="14" s="1"/>
  <c r="L272" i="14"/>
  <c r="K272" i="14"/>
  <c r="J272" i="14"/>
  <c r="H272" i="14"/>
  <c r="I272" i="14"/>
  <c r="G272" i="14"/>
  <c r="R317" i="1"/>
  <c r="U317" i="1" s="1"/>
  <c r="R318" i="1"/>
  <c r="U318" i="1" s="1"/>
  <c r="R319" i="1"/>
  <c r="U319" i="1" s="1"/>
  <c r="R320" i="1"/>
  <c r="U320" i="1" s="1"/>
  <c r="R321" i="1"/>
  <c r="U321" i="1" s="1"/>
  <c r="R322" i="1"/>
  <c r="U322" i="1" s="1"/>
  <c r="R323" i="1"/>
  <c r="U323" i="1" s="1"/>
  <c r="R324" i="1"/>
  <c r="U324" i="1" s="1"/>
  <c r="R325" i="1"/>
  <c r="U325" i="1" s="1"/>
  <c r="U314" i="1"/>
  <c r="R315" i="1"/>
  <c r="U315" i="1" s="1"/>
  <c r="R316" i="1"/>
  <c r="U316" i="1" s="1"/>
  <c r="R304" i="1"/>
  <c r="T303" i="1"/>
  <c r="U303" i="1" s="1"/>
  <c r="R313" i="1"/>
  <c r="X269" i="1"/>
  <c r="J269" i="1" s="1"/>
  <c r="W266" i="1"/>
  <c r="G266" i="1" s="1"/>
  <c r="W259" i="1"/>
  <c r="I259" i="1" s="1"/>
  <c r="W270" i="1"/>
  <c r="L270" i="1" s="1"/>
  <c r="X265" i="1"/>
  <c r="H265" i="1" s="1"/>
  <c r="W267" i="1"/>
  <c r="K267" i="1" s="1"/>
  <c r="W261" i="1"/>
  <c r="P261" i="1" s="1"/>
  <c r="X264" i="1"/>
  <c r="L264" i="1" s="1"/>
  <c r="W260" i="1"/>
  <c r="L260" i="1" s="1"/>
  <c r="T62" i="1"/>
  <c r="T64" i="1"/>
  <c r="T63" i="1"/>
  <c r="T60" i="1"/>
  <c r="T69" i="1"/>
  <c r="T66" i="1"/>
  <c r="T59" i="1"/>
  <c r="K263" i="1"/>
  <c r="H263" i="1"/>
  <c r="P263" i="1"/>
  <c r="Q263" i="1"/>
  <c r="L263" i="1"/>
  <c r="I263" i="1"/>
  <c r="N263" i="1"/>
  <c r="N282" i="1" s="1"/>
  <c r="J263" i="1"/>
  <c r="O263" i="1"/>
  <c r="O282" i="1" s="1"/>
  <c r="G263" i="1"/>
  <c r="L262" i="1"/>
  <c r="Q262" i="1"/>
  <c r="N262" i="1"/>
  <c r="N281" i="1" s="1"/>
  <c r="J262" i="1"/>
  <c r="O262" i="1"/>
  <c r="O281" i="1" s="1"/>
  <c r="K262" i="1"/>
  <c r="I262" i="1"/>
  <c r="P262" i="1"/>
  <c r="H262" i="1"/>
  <c r="T65" i="1"/>
  <c r="T67" i="1"/>
  <c r="G262" i="1"/>
  <c r="T61" i="1"/>
  <c r="T58" i="1"/>
  <c r="T68" i="1"/>
  <c r="P268" i="1"/>
  <c r="O268" i="1"/>
  <c r="O287" i="1" s="1"/>
  <c r="N268" i="1"/>
  <c r="N287" i="1" s="1"/>
  <c r="K268" i="1"/>
  <c r="L268" i="1"/>
  <c r="Q268" i="1"/>
  <c r="J268" i="1"/>
  <c r="I268" i="1"/>
  <c r="H268" i="1"/>
  <c r="G268" i="1"/>
  <c r="K269" i="1"/>
  <c r="R37" i="8"/>
  <c r="U37" i="8" s="1"/>
  <c r="R45" i="8"/>
  <c r="U45" i="8" s="1"/>
  <c r="R44" i="8"/>
  <c r="U44" i="8" s="1"/>
  <c r="R39" i="8"/>
  <c r="U39" i="8" s="1"/>
  <c r="R35" i="8"/>
  <c r="R41" i="8"/>
  <c r="U41" i="8" s="1"/>
  <c r="R47" i="8"/>
  <c r="U47" i="8" s="1"/>
  <c r="R40" i="8"/>
  <c r="U40" i="8" s="1"/>
  <c r="R36" i="8"/>
  <c r="U36" i="8" s="1"/>
  <c r="R42" i="8"/>
  <c r="U42" i="8" s="1"/>
  <c r="R43" i="8"/>
  <c r="U43" i="8" s="1"/>
  <c r="R27" i="8"/>
  <c r="R46" i="8"/>
  <c r="U46" i="8" s="1"/>
  <c r="R38" i="8"/>
  <c r="U38" i="8" s="1"/>
  <c r="O179" i="8"/>
  <c r="O198" i="8" s="1"/>
  <c r="N179" i="8"/>
  <c r="N198" i="8" s="1"/>
  <c r="K179" i="8"/>
  <c r="K198" i="8" s="1"/>
  <c r="J179" i="8"/>
  <c r="J198" i="8" s="1"/>
  <c r="I179" i="8"/>
  <c r="H179" i="8"/>
  <c r="Q179" i="8"/>
  <c r="Q198" i="8" s="1"/>
  <c r="P179" i="8"/>
  <c r="P198" i="8" s="1"/>
  <c r="L179" i="8"/>
  <c r="L198" i="8" s="1"/>
  <c r="G179" i="8"/>
  <c r="J176" i="8"/>
  <c r="J195" i="8" s="1"/>
  <c r="Q176" i="8"/>
  <c r="Q195" i="8" s="1"/>
  <c r="P176" i="8"/>
  <c r="P195" i="8" s="1"/>
  <c r="O176" i="8"/>
  <c r="O195" i="8" s="1"/>
  <c r="L176" i="8"/>
  <c r="L195" i="8" s="1"/>
  <c r="K176" i="8"/>
  <c r="K195" i="8" s="1"/>
  <c r="N176" i="8"/>
  <c r="N195" i="8" s="1"/>
  <c r="I176" i="8"/>
  <c r="H176" i="8"/>
  <c r="G176" i="8"/>
  <c r="O174" i="8"/>
  <c r="O193" i="8" s="1"/>
  <c r="H174" i="8"/>
  <c r="Q174" i="8"/>
  <c r="Q193" i="8" s="1"/>
  <c r="P174" i="8"/>
  <c r="P193" i="8" s="1"/>
  <c r="N174" i="8"/>
  <c r="N193" i="8" s="1"/>
  <c r="L174" i="8"/>
  <c r="L193" i="8" s="1"/>
  <c r="K174" i="8"/>
  <c r="K193" i="8" s="1"/>
  <c r="J174" i="8"/>
  <c r="I174" i="8"/>
  <c r="G174" i="8"/>
  <c r="R132" i="8"/>
  <c r="R126" i="8"/>
  <c r="R123" i="8"/>
  <c r="R131" i="8"/>
  <c r="R127" i="8"/>
  <c r="T112" i="8"/>
  <c r="U112" i="8" s="1"/>
  <c r="R128" i="8"/>
  <c r="R124" i="8"/>
  <c r="R121" i="8"/>
  <c r="R133" i="8"/>
  <c r="R129" i="8"/>
  <c r="R125" i="8"/>
  <c r="R113" i="8"/>
  <c r="R130" i="8"/>
  <c r="R122" i="8"/>
  <c r="H177" i="8"/>
  <c r="P177" i="8"/>
  <c r="P196" i="8" s="1"/>
  <c r="O177" i="8"/>
  <c r="O196" i="8" s="1"/>
  <c r="N177" i="8"/>
  <c r="N196" i="8" s="1"/>
  <c r="L177" i="8"/>
  <c r="L196" i="8" s="1"/>
  <c r="J177" i="8"/>
  <c r="J196" i="8" s="1"/>
  <c r="I177" i="8"/>
  <c r="Q177" i="8"/>
  <c r="Q196" i="8" s="1"/>
  <c r="K177" i="8"/>
  <c r="K196" i="8" s="1"/>
  <c r="G177" i="8"/>
  <c r="L183" i="8"/>
  <c r="L202" i="8" s="1"/>
  <c r="K183" i="8"/>
  <c r="K202" i="8" s="1"/>
  <c r="J183" i="8"/>
  <c r="J202" i="8" s="1"/>
  <c r="Q183" i="8"/>
  <c r="Q202" i="8" s="1"/>
  <c r="P183" i="8"/>
  <c r="P202" i="8" s="1"/>
  <c r="O183" i="8"/>
  <c r="O202" i="8" s="1"/>
  <c r="N183" i="8"/>
  <c r="N202" i="8" s="1"/>
  <c r="I183" i="8"/>
  <c r="H183" i="8"/>
  <c r="G183" i="8"/>
  <c r="Q180" i="8"/>
  <c r="Q199" i="8" s="1"/>
  <c r="L180" i="8"/>
  <c r="L199" i="8" s="1"/>
  <c r="K180" i="8"/>
  <c r="K199" i="8" s="1"/>
  <c r="I180" i="8"/>
  <c r="H180" i="8"/>
  <c r="G180" i="8"/>
  <c r="N180" i="8"/>
  <c r="N199" i="8" s="1"/>
  <c r="J180" i="8"/>
  <c r="J199" i="8" s="1"/>
  <c r="P180" i="8"/>
  <c r="P199" i="8" s="1"/>
  <c r="O180" i="8"/>
  <c r="O199" i="8" s="1"/>
  <c r="J184" i="8"/>
  <c r="J203" i="8" s="1"/>
  <c r="I184" i="8"/>
  <c r="H184" i="8"/>
  <c r="Q184" i="8"/>
  <c r="Q203" i="8" s="1"/>
  <c r="P184" i="8"/>
  <c r="P203" i="8" s="1"/>
  <c r="O184" i="8"/>
  <c r="O203" i="8" s="1"/>
  <c r="N184" i="8"/>
  <c r="N203" i="8" s="1"/>
  <c r="L184" i="8"/>
  <c r="L203" i="8" s="1"/>
  <c r="K184" i="8"/>
  <c r="K203" i="8" s="1"/>
  <c r="G184" i="8"/>
  <c r="L175" i="8"/>
  <c r="L194" i="8" s="1"/>
  <c r="Q175" i="8"/>
  <c r="Q194" i="8" s="1"/>
  <c r="O175" i="8"/>
  <c r="O194" i="8" s="1"/>
  <c r="N175" i="8"/>
  <c r="N194" i="8" s="1"/>
  <c r="P175" i="8"/>
  <c r="P194" i="8" s="1"/>
  <c r="K175" i="8"/>
  <c r="K194" i="8" s="1"/>
  <c r="J175" i="8"/>
  <c r="J194" i="8" s="1"/>
  <c r="I175" i="8"/>
  <c r="H175" i="8"/>
  <c r="G175" i="8"/>
  <c r="O182" i="8"/>
  <c r="O201" i="8" s="1"/>
  <c r="N182" i="8"/>
  <c r="N201" i="8" s="1"/>
  <c r="L182" i="8"/>
  <c r="L201" i="8" s="1"/>
  <c r="H182" i="8"/>
  <c r="G182" i="8"/>
  <c r="Q182" i="8"/>
  <c r="Q201" i="8" s="1"/>
  <c r="P182" i="8"/>
  <c r="P201" i="8" s="1"/>
  <c r="K182" i="8"/>
  <c r="K201" i="8" s="1"/>
  <c r="J182" i="8"/>
  <c r="J201" i="8" s="1"/>
  <c r="I182" i="8"/>
  <c r="Q178" i="8"/>
  <c r="Q197" i="8" s="1"/>
  <c r="P178" i="8"/>
  <c r="P197" i="8" s="1"/>
  <c r="N178" i="8"/>
  <c r="N197" i="8" s="1"/>
  <c r="L178" i="8"/>
  <c r="L197" i="8" s="1"/>
  <c r="K178" i="8"/>
  <c r="K197" i="8" s="1"/>
  <c r="J178" i="8"/>
  <c r="J197" i="8" s="1"/>
  <c r="H178" i="8"/>
  <c r="G178" i="8"/>
  <c r="O178" i="8"/>
  <c r="O197" i="8" s="1"/>
  <c r="I178" i="8"/>
  <c r="Q181" i="8"/>
  <c r="Q200" i="8" s="1"/>
  <c r="P181" i="8"/>
  <c r="P200" i="8" s="1"/>
  <c r="O181" i="8"/>
  <c r="O200" i="8" s="1"/>
  <c r="J181" i="8"/>
  <c r="J200" i="8" s="1"/>
  <c r="I181" i="8"/>
  <c r="G181" i="8"/>
  <c r="N181" i="8"/>
  <c r="N200" i="8" s="1"/>
  <c r="L181" i="8"/>
  <c r="L200" i="8" s="1"/>
  <c r="K181" i="8"/>
  <c r="K200" i="8" s="1"/>
  <c r="H181" i="8"/>
  <c r="H185" i="8"/>
  <c r="G185" i="8"/>
  <c r="Q185" i="8"/>
  <c r="Q204" i="8" s="1"/>
  <c r="P185" i="8"/>
  <c r="P204" i="8" s="1"/>
  <c r="O185" i="8"/>
  <c r="O204" i="8" s="1"/>
  <c r="N185" i="8"/>
  <c r="N204" i="8" s="1"/>
  <c r="L185" i="8"/>
  <c r="L204" i="8" s="1"/>
  <c r="K185" i="8"/>
  <c r="K204" i="8" s="1"/>
  <c r="J185" i="8"/>
  <c r="J204" i="8" s="1"/>
  <c r="I185" i="8"/>
  <c r="R76" i="8"/>
  <c r="R73" i="8"/>
  <c r="R71" i="8"/>
  <c r="R75" i="8"/>
  <c r="R60" i="8"/>
  <c r="R70" i="8"/>
  <c r="R72" i="8"/>
  <c r="R77" i="8"/>
  <c r="T59" i="8"/>
  <c r="U59" i="8" s="1"/>
  <c r="R78" i="8"/>
  <c r="R79" i="8"/>
  <c r="R68" i="8"/>
  <c r="R74" i="8"/>
  <c r="R69" i="8"/>
  <c r="R80" i="8"/>
  <c r="W214" i="1"/>
  <c r="X214" i="1"/>
  <c r="W213" i="1"/>
  <c r="X213" i="1"/>
  <c r="X208" i="1"/>
  <c r="W208" i="1"/>
  <c r="W205" i="1"/>
  <c r="X205" i="1"/>
  <c r="W203" i="1"/>
  <c r="X203" i="1"/>
  <c r="X211" i="1"/>
  <c r="W211" i="1"/>
  <c r="X209" i="1"/>
  <c r="W209" i="1"/>
  <c r="W207" i="1"/>
  <c r="X207" i="1"/>
  <c r="W210" i="1"/>
  <c r="X210" i="1"/>
  <c r="X204" i="1"/>
  <c r="W204" i="1"/>
  <c r="W206" i="1"/>
  <c r="X206" i="1"/>
  <c r="X212" i="1"/>
  <c r="W212" i="1"/>
  <c r="R153" i="1"/>
  <c r="R150" i="1"/>
  <c r="R154" i="1"/>
  <c r="R158" i="1"/>
  <c r="R151" i="1"/>
  <c r="R155" i="1"/>
  <c r="R159" i="1"/>
  <c r="R152" i="1"/>
  <c r="R156" i="1"/>
  <c r="R160" i="1"/>
  <c r="R157" i="1"/>
  <c r="R148" i="1"/>
  <c r="R139" i="1"/>
  <c r="T138" i="1"/>
  <c r="U138" i="1" s="1"/>
  <c r="I168" i="14" l="1"/>
  <c r="G168" i="14"/>
  <c r="P168" i="14"/>
  <c r="N168" i="14"/>
  <c r="N187" i="14" s="1"/>
  <c r="L168" i="14"/>
  <c r="L187" i="14" s="1"/>
  <c r="K168" i="14"/>
  <c r="J168" i="14"/>
  <c r="Q168" i="14"/>
  <c r="O168" i="14"/>
  <c r="O187" i="14" s="1"/>
  <c r="H168" i="14"/>
  <c r="Q331" i="14"/>
  <c r="Q350" i="14" s="1"/>
  <c r="P331" i="14"/>
  <c r="P350" i="14" s="1"/>
  <c r="O331" i="14"/>
  <c r="O350" i="14" s="1"/>
  <c r="N331" i="14"/>
  <c r="N350" i="14" s="1"/>
  <c r="L331" i="14"/>
  <c r="K331" i="14"/>
  <c r="J331" i="14"/>
  <c r="I331" i="14"/>
  <c r="G331" i="14"/>
  <c r="H331" i="14"/>
  <c r="K327" i="14"/>
  <c r="J327" i="14"/>
  <c r="I327" i="14"/>
  <c r="H327" i="14"/>
  <c r="G327" i="14"/>
  <c r="P327" i="14"/>
  <c r="P346" i="14" s="1"/>
  <c r="O327" i="14"/>
  <c r="O346" i="14" s="1"/>
  <c r="N327" i="14"/>
  <c r="N346" i="14" s="1"/>
  <c r="L327" i="14"/>
  <c r="Q327" i="14"/>
  <c r="Q346" i="14" s="1"/>
  <c r="P157" i="14"/>
  <c r="N157" i="14"/>
  <c r="N176" i="14" s="1"/>
  <c r="L157" i="14"/>
  <c r="L176" i="14" s="1"/>
  <c r="K157" i="14"/>
  <c r="J157" i="14"/>
  <c r="I157" i="14"/>
  <c r="H157" i="14"/>
  <c r="G157" i="14"/>
  <c r="Q157" i="14"/>
  <c r="O157" i="14"/>
  <c r="O176" i="14" s="1"/>
  <c r="N166" i="14"/>
  <c r="N185" i="14" s="1"/>
  <c r="K166" i="14"/>
  <c r="J166" i="14"/>
  <c r="I166" i="14"/>
  <c r="H166" i="14"/>
  <c r="G166" i="14"/>
  <c r="Q166" i="14"/>
  <c r="P166" i="14"/>
  <c r="O166" i="14"/>
  <c r="O185" i="14" s="1"/>
  <c r="L166" i="14"/>
  <c r="L185" i="14" s="1"/>
  <c r="K159" i="14"/>
  <c r="I159" i="14"/>
  <c r="H159" i="14"/>
  <c r="G159" i="14"/>
  <c r="P159" i="14"/>
  <c r="O159" i="14"/>
  <c r="O178" i="14" s="1"/>
  <c r="N159" i="14"/>
  <c r="N178" i="14" s="1"/>
  <c r="L159" i="14"/>
  <c r="L178" i="14" s="1"/>
  <c r="J159" i="14"/>
  <c r="Q159" i="14"/>
  <c r="P165" i="14"/>
  <c r="N165" i="14"/>
  <c r="N184" i="14" s="1"/>
  <c r="L165" i="14"/>
  <c r="L184" i="14" s="1"/>
  <c r="K165" i="14"/>
  <c r="J165" i="14"/>
  <c r="I165" i="14"/>
  <c r="H165" i="14"/>
  <c r="G165" i="14"/>
  <c r="Q165" i="14"/>
  <c r="O165" i="14"/>
  <c r="O184" i="14" s="1"/>
  <c r="N326" i="14"/>
  <c r="N345" i="14" s="1"/>
  <c r="L326" i="14"/>
  <c r="K326" i="14"/>
  <c r="J326" i="14"/>
  <c r="I326" i="14"/>
  <c r="H326" i="14"/>
  <c r="G326" i="14"/>
  <c r="Q326" i="14"/>
  <c r="Q345" i="14" s="1"/>
  <c r="P326" i="14"/>
  <c r="P345" i="14" s="1"/>
  <c r="O326" i="14"/>
  <c r="O345" i="14" s="1"/>
  <c r="Q332" i="14"/>
  <c r="Q351" i="14" s="1"/>
  <c r="P332" i="14"/>
  <c r="P351" i="14" s="1"/>
  <c r="O332" i="14"/>
  <c r="O351" i="14" s="1"/>
  <c r="N332" i="14"/>
  <c r="N351" i="14" s="1"/>
  <c r="L332" i="14"/>
  <c r="K332" i="14"/>
  <c r="J332" i="14"/>
  <c r="I332" i="14"/>
  <c r="H332" i="14"/>
  <c r="G332" i="14"/>
  <c r="P333" i="14"/>
  <c r="P352" i="14" s="1"/>
  <c r="O333" i="14"/>
  <c r="O352" i="14" s="1"/>
  <c r="N333" i="14"/>
  <c r="N352" i="14" s="1"/>
  <c r="L333" i="14"/>
  <c r="K333" i="14"/>
  <c r="J333" i="14"/>
  <c r="I333" i="14"/>
  <c r="H333" i="14"/>
  <c r="G333" i="14"/>
  <c r="Q333" i="14"/>
  <c r="Q352" i="14" s="1"/>
  <c r="Q330" i="14"/>
  <c r="Q349" i="14" s="1"/>
  <c r="P330" i="14"/>
  <c r="P349" i="14" s="1"/>
  <c r="O330" i="14"/>
  <c r="O349" i="14" s="1"/>
  <c r="N330" i="14"/>
  <c r="N349" i="14" s="1"/>
  <c r="L330" i="14"/>
  <c r="K330" i="14"/>
  <c r="I330" i="14"/>
  <c r="H330" i="14"/>
  <c r="G330" i="14"/>
  <c r="J330" i="14"/>
  <c r="G329" i="14"/>
  <c r="Q329" i="14"/>
  <c r="Q348" i="14" s="1"/>
  <c r="P329" i="14"/>
  <c r="P348" i="14" s="1"/>
  <c r="O329" i="14"/>
  <c r="O348" i="14" s="1"/>
  <c r="N329" i="14"/>
  <c r="N348" i="14" s="1"/>
  <c r="K329" i="14"/>
  <c r="J329" i="14"/>
  <c r="I329" i="14"/>
  <c r="H329" i="14"/>
  <c r="L329" i="14"/>
  <c r="I328" i="14"/>
  <c r="H328" i="14"/>
  <c r="G328" i="14"/>
  <c r="Q328" i="14"/>
  <c r="Q347" i="14" s="1"/>
  <c r="P328" i="14"/>
  <c r="P347" i="14" s="1"/>
  <c r="N328" i="14"/>
  <c r="N347" i="14" s="1"/>
  <c r="L328" i="14"/>
  <c r="K328" i="14"/>
  <c r="J328" i="14"/>
  <c r="O328" i="14"/>
  <c r="O347" i="14" s="1"/>
  <c r="K167" i="14"/>
  <c r="I167" i="14"/>
  <c r="H167" i="14"/>
  <c r="G167" i="14"/>
  <c r="P167" i="14"/>
  <c r="O167" i="14"/>
  <c r="O186" i="14" s="1"/>
  <c r="N167" i="14"/>
  <c r="N186" i="14" s="1"/>
  <c r="L167" i="14"/>
  <c r="L186" i="14" s="1"/>
  <c r="Q167" i="14"/>
  <c r="J167" i="14"/>
  <c r="P325" i="14"/>
  <c r="P344" i="14" s="1"/>
  <c r="O325" i="14"/>
  <c r="O344" i="14" s="1"/>
  <c r="N325" i="14"/>
  <c r="N344" i="14" s="1"/>
  <c r="L325" i="14"/>
  <c r="K325" i="14"/>
  <c r="J325" i="14"/>
  <c r="I325" i="14"/>
  <c r="H325" i="14"/>
  <c r="G325" i="14"/>
  <c r="Q325" i="14"/>
  <c r="Q344" i="14" s="1"/>
  <c r="Q163" i="14"/>
  <c r="P163" i="14"/>
  <c r="O163" i="14"/>
  <c r="O182" i="14" s="1"/>
  <c r="N163" i="14"/>
  <c r="N182" i="14" s="1"/>
  <c r="L163" i="14"/>
  <c r="L182" i="14" s="1"/>
  <c r="K163" i="14"/>
  <c r="I163" i="14"/>
  <c r="G163" i="14"/>
  <c r="J163" i="14"/>
  <c r="H163" i="14"/>
  <c r="N158" i="14"/>
  <c r="N177" i="14" s="1"/>
  <c r="K158" i="14"/>
  <c r="J158" i="14"/>
  <c r="I158" i="14"/>
  <c r="H158" i="14"/>
  <c r="G158" i="14"/>
  <c r="Q158" i="14"/>
  <c r="P158" i="14"/>
  <c r="O158" i="14"/>
  <c r="O177" i="14" s="1"/>
  <c r="L158" i="14"/>
  <c r="L177" i="14" s="1"/>
  <c r="P164" i="14"/>
  <c r="O164" i="14"/>
  <c r="O183" i="14" s="1"/>
  <c r="N164" i="14"/>
  <c r="N183" i="14" s="1"/>
  <c r="L164" i="14"/>
  <c r="L183" i="14" s="1"/>
  <c r="K164" i="14"/>
  <c r="J164" i="14"/>
  <c r="I164" i="14"/>
  <c r="G164" i="14"/>
  <c r="H164" i="14"/>
  <c r="Q164" i="14"/>
  <c r="Q324" i="14"/>
  <c r="Q343" i="14" s="1"/>
  <c r="P324" i="14"/>
  <c r="P343" i="14" s="1"/>
  <c r="O324" i="14"/>
  <c r="O343" i="14" s="1"/>
  <c r="N324" i="14"/>
  <c r="N343" i="14" s="1"/>
  <c r="L324" i="14"/>
  <c r="K324" i="14"/>
  <c r="J324" i="14"/>
  <c r="I324" i="14"/>
  <c r="G324" i="14"/>
  <c r="H324" i="14"/>
  <c r="Q162" i="14"/>
  <c r="P162" i="14"/>
  <c r="O162" i="14"/>
  <c r="O181" i="14" s="1"/>
  <c r="N162" i="14"/>
  <c r="N181" i="14" s="1"/>
  <c r="K162" i="14"/>
  <c r="I162" i="14"/>
  <c r="H162" i="14"/>
  <c r="G162" i="14"/>
  <c r="L162" i="14"/>
  <c r="L181" i="14" s="1"/>
  <c r="J162" i="14"/>
  <c r="G161" i="14"/>
  <c r="Q161" i="14"/>
  <c r="P161" i="14"/>
  <c r="N161" i="14"/>
  <c r="N180" i="14" s="1"/>
  <c r="K161" i="14"/>
  <c r="J161" i="14"/>
  <c r="I161" i="14"/>
  <c r="H161" i="14"/>
  <c r="O161" i="14"/>
  <c r="O180" i="14" s="1"/>
  <c r="L161" i="14"/>
  <c r="L180" i="14" s="1"/>
  <c r="Q323" i="14"/>
  <c r="Q342" i="14" s="1"/>
  <c r="P323" i="14"/>
  <c r="P342" i="14" s="1"/>
  <c r="O323" i="14"/>
  <c r="O342" i="14" s="1"/>
  <c r="N323" i="14"/>
  <c r="N342" i="14" s="1"/>
  <c r="L323" i="14"/>
  <c r="K323" i="14"/>
  <c r="I323" i="14"/>
  <c r="G323" i="14"/>
  <c r="J323" i="14"/>
  <c r="H323" i="14"/>
  <c r="Q322" i="14"/>
  <c r="Q341" i="14" s="1"/>
  <c r="P322" i="14"/>
  <c r="P341" i="14" s="1"/>
  <c r="O322" i="14"/>
  <c r="O341" i="14" s="1"/>
  <c r="N322" i="14"/>
  <c r="N341" i="14" s="1"/>
  <c r="K322" i="14"/>
  <c r="I322" i="14"/>
  <c r="H322" i="14"/>
  <c r="G322" i="14"/>
  <c r="L322" i="14"/>
  <c r="J322" i="14"/>
  <c r="I160" i="14"/>
  <c r="G160" i="14"/>
  <c r="P160" i="14"/>
  <c r="N160" i="14"/>
  <c r="N179" i="14" s="1"/>
  <c r="L160" i="14"/>
  <c r="L179" i="14" s="1"/>
  <c r="K160" i="14"/>
  <c r="J160" i="14"/>
  <c r="Q160" i="14"/>
  <c r="H160" i="14"/>
  <c r="O160" i="14"/>
  <c r="O179" i="14" s="1"/>
  <c r="X316" i="1"/>
  <c r="W316" i="1"/>
  <c r="W315" i="1"/>
  <c r="X315" i="1"/>
  <c r="W325" i="1"/>
  <c r="X325" i="1"/>
  <c r="X314" i="1"/>
  <c r="W314" i="1"/>
  <c r="X324" i="1"/>
  <c r="W324" i="1"/>
  <c r="X323" i="1"/>
  <c r="W323" i="1"/>
  <c r="W322" i="1"/>
  <c r="X322" i="1"/>
  <c r="X321" i="1"/>
  <c r="W321" i="1"/>
  <c r="W320" i="1"/>
  <c r="X320" i="1"/>
  <c r="X319" i="1"/>
  <c r="W319" i="1"/>
  <c r="W318" i="1"/>
  <c r="X318" i="1"/>
  <c r="X317" i="1"/>
  <c r="W317" i="1"/>
  <c r="H266" i="1"/>
  <c r="Q269" i="1"/>
  <c r="H269" i="1"/>
  <c r="O269" i="1"/>
  <c r="O288" i="1" s="1"/>
  <c r="L269" i="1"/>
  <c r="P269" i="1"/>
  <c r="N269" i="1"/>
  <c r="N288" i="1" s="1"/>
  <c r="G269" i="1"/>
  <c r="I269" i="1"/>
  <c r="G259" i="1"/>
  <c r="H259" i="1"/>
  <c r="Q259" i="1"/>
  <c r="K266" i="1"/>
  <c r="J266" i="1"/>
  <c r="N266" i="1"/>
  <c r="N285" i="1" s="1"/>
  <c r="L266" i="1"/>
  <c r="I266" i="1"/>
  <c r="P266" i="1"/>
  <c r="O266" i="1"/>
  <c r="O285" i="1" s="1"/>
  <c r="Q266" i="1"/>
  <c r="L259" i="1"/>
  <c r="O259" i="1"/>
  <c r="O278" i="1" s="1"/>
  <c r="J259" i="1"/>
  <c r="N259" i="1"/>
  <c r="N278" i="1" s="1"/>
  <c r="P259" i="1"/>
  <c r="K259" i="1"/>
  <c r="H270" i="1"/>
  <c r="G270" i="1"/>
  <c r="I270" i="1"/>
  <c r="P270" i="1"/>
  <c r="O267" i="1"/>
  <c r="O286" i="1" s="1"/>
  <c r="J270" i="1"/>
  <c r="K270" i="1"/>
  <c r="N270" i="1"/>
  <c r="N289" i="1" s="1"/>
  <c r="Q270" i="1"/>
  <c r="O270" i="1"/>
  <c r="O289" i="1" s="1"/>
  <c r="I267" i="1"/>
  <c r="P267" i="1"/>
  <c r="H267" i="1"/>
  <c r="N267" i="1"/>
  <c r="N286" i="1" s="1"/>
  <c r="Q267" i="1"/>
  <c r="G267" i="1"/>
  <c r="P265" i="1"/>
  <c r="L265" i="1"/>
  <c r="G265" i="1"/>
  <c r="O265" i="1"/>
  <c r="O284" i="1" s="1"/>
  <c r="N265" i="1"/>
  <c r="N284" i="1" s="1"/>
  <c r="J265" i="1"/>
  <c r="I265" i="1"/>
  <c r="K265" i="1"/>
  <c r="Q265" i="1"/>
  <c r="J267" i="1"/>
  <c r="L267" i="1"/>
  <c r="Q264" i="1"/>
  <c r="Q283" i="1" s="1"/>
  <c r="H264" i="1"/>
  <c r="P264" i="1"/>
  <c r="P283" i="1" s="1"/>
  <c r="O264" i="1"/>
  <c r="O283" i="1" s="1"/>
  <c r="K264" i="1"/>
  <c r="G264" i="1"/>
  <c r="J264" i="1"/>
  <c r="I264" i="1"/>
  <c r="N264" i="1"/>
  <c r="N283" i="1" s="1"/>
  <c r="O260" i="1"/>
  <c r="O279" i="1" s="1"/>
  <c r="J261" i="1"/>
  <c r="I261" i="1"/>
  <c r="G261" i="1"/>
  <c r="L261" i="1"/>
  <c r="Q261" i="1"/>
  <c r="H261" i="1"/>
  <c r="K261" i="1"/>
  <c r="O261" i="1"/>
  <c r="O280" i="1" s="1"/>
  <c r="N261" i="1"/>
  <c r="N280" i="1" s="1"/>
  <c r="P260" i="1"/>
  <c r="I260" i="1"/>
  <c r="Q260" i="1"/>
  <c r="J260" i="1"/>
  <c r="K260" i="1"/>
  <c r="H260" i="1"/>
  <c r="G260" i="1"/>
  <c r="N260" i="1"/>
  <c r="N279" i="1" s="1"/>
  <c r="N203" i="1"/>
  <c r="N222" i="1" s="1"/>
  <c r="R93" i="8"/>
  <c r="U75" i="8"/>
  <c r="R96" i="8"/>
  <c r="U78" i="8"/>
  <c r="U123" i="8"/>
  <c r="R141" i="8"/>
  <c r="R98" i="8"/>
  <c r="U80" i="8"/>
  <c r="R97" i="8"/>
  <c r="U79" i="8"/>
  <c r="U77" i="8"/>
  <c r="R95" i="8"/>
  <c r="U132" i="8"/>
  <c r="R150" i="8"/>
  <c r="W46" i="8"/>
  <c r="X46" i="8"/>
  <c r="W37" i="8"/>
  <c r="X37" i="8"/>
  <c r="R149" i="8"/>
  <c r="U131" i="8"/>
  <c r="R144" i="8"/>
  <c r="U126" i="8"/>
  <c r="U72" i="8"/>
  <c r="R90" i="8"/>
  <c r="R88" i="8"/>
  <c r="U70" i="8"/>
  <c r="R140" i="8"/>
  <c r="U122" i="8"/>
  <c r="X43" i="8"/>
  <c r="W43" i="8"/>
  <c r="U127" i="8"/>
  <c r="R145" i="8"/>
  <c r="W38" i="8"/>
  <c r="X38" i="8"/>
  <c r="U130" i="8"/>
  <c r="R148" i="8"/>
  <c r="X42" i="8"/>
  <c r="W42" i="8"/>
  <c r="X36" i="8"/>
  <c r="W36" i="8"/>
  <c r="U71" i="8"/>
  <c r="R89" i="8"/>
  <c r="W40" i="8"/>
  <c r="X40" i="8"/>
  <c r="R143" i="8"/>
  <c r="U125" i="8"/>
  <c r="R91" i="8"/>
  <c r="U73" i="8"/>
  <c r="U129" i="8"/>
  <c r="R147" i="8"/>
  <c r="W47" i="8"/>
  <c r="X47" i="8"/>
  <c r="R94" i="8"/>
  <c r="U76" i="8"/>
  <c r="R151" i="8"/>
  <c r="U133" i="8"/>
  <c r="W41" i="8"/>
  <c r="X41" i="8"/>
  <c r="U124" i="8"/>
  <c r="R142" i="8"/>
  <c r="X39" i="8"/>
  <c r="W39" i="8"/>
  <c r="U69" i="8"/>
  <c r="R87" i="8"/>
  <c r="R146" i="8"/>
  <c r="U128" i="8"/>
  <c r="X44" i="8"/>
  <c r="W44" i="8"/>
  <c r="U74" i="8"/>
  <c r="R92" i="8"/>
  <c r="X45" i="8"/>
  <c r="W45" i="8"/>
  <c r="I205" i="1"/>
  <c r="P213" i="1"/>
  <c r="O206" i="1"/>
  <c r="O225" i="1" s="1"/>
  <c r="I212" i="1"/>
  <c r="N212" i="1"/>
  <c r="N231" i="1" s="1"/>
  <c r="J212" i="1"/>
  <c r="P212" i="1"/>
  <c r="H212" i="1"/>
  <c r="G212" i="1"/>
  <c r="L212" i="1"/>
  <c r="O212" i="1"/>
  <c r="O231" i="1" s="1"/>
  <c r="K212" i="1"/>
  <c r="Q212" i="1"/>
  <c r="P204" i="1"/>
  <c r="L204" i="1"/>
  <c r="G204" i="1"/>
  <c r="O204" i="1"/>
  <c r="O223" i="1" s="1"/>
  <c r="H204" i="1"/>
  <c r="N204" i="1"/>
  <c r="N223" i="1" s="1"/>
  <c r="J204" i="1"/>
  <c r="I204" i="1"/>
  <c r="K204" i="1"/>
  <c r="Q204" i="1"/>
  <c r="P211" i="1"/>
  <c r="I211" i="1"/>
  <c r="H211" i="1"/>
  <c r="G211" i="1"/>
  <c r="J211" i="1"/>
  <c r="N211" i="1"/>
  <c r="N230" i="1" s="1"/>
  <c r="Q211" i="1"/>
  <c r="K211" i="1"/>
  <c r="L211" i="1"/>
  <c r="O211" i="1"/>
  <c r="O230" i="1" s="1"/>
  <c r="Q207" i="1"/>
  <c r="N207" i="1"/>
  <c r="N226" i="1" s="1"/>
  <c r="I207" i="1"/>
  <c r="K207" i="1"/>
  <c r="O207" i="1"/>
  <c r="O226" i="1" s="1"/>
  <c r="H207" i="1"/>
  <c r="G207" i="1"/>
  <c r="J207" i="1"/>
  <c r="L207" i="1"/>
  <c r="P207" i="1"/>
  <c r="N205" i="1"/>
  <c r="N224" i="1" s="1"/>
  <c r="G205" i="1"/>
  <c r="Q205" i="1"/>
  <c r="O205" i="1"/>
  <c r="O224" i="1" s="1"/>
  <c r="H205" i="1"/>
  <c r="P205" i="1"/>
  <c r="J205" i="1"/>
  <c r="K205" i="1"/>
  <c r="L205" i="1"/>
  <c r="N213" i="1"/>
  <c r="N232" i="1" s="1"/>
  <c r="O213" i="1"/>
  <c r="O232" i="1" s="1"/>
  <c r="I213" i="1"/>
  <c r="L213" i="1"/>
  <c r="J213" i="1"/>
  <c r="H213" i="1"/>
  <c r="G213" i="1"/>
  <c r="Q213" i="1"/>
  <c r="K213" i="1"/>
  <c r="K209" i="1"/>
  <c r="I209" i="1"/>
  <c r="O209" i="1"/>
  <c r="O228" i="1" s="1"/>
  <c r="H209" i="1"/>
  <c r="P209" i="1"/>
  <c r="L209" i="1"/>
  <c r="J209" i="1"/>
  <c r="N209" i="1"/>
  <c r="N228" i="1" s="1"/>
  <c r="G209" i="1"/>
  <c r="Q209" i="1"/>
  <c r="O208" i="1"/>
  <c r="O227" i="1" s="1"/>
  <c r="G208" i="1"/>
  <c r="J208" i="1"/>
  <c r="K208" i="1"/>
  <c r="N208" i="1"/>
  <c r="N227" i="1" s="1"/>
  <c r="Q208" i="1"/>
  <c r="I208" i="1"/>
  <c r="L208" i="1"/>
  <c r="P208" i="1"/>
  <c r="H208" i="1"/>
  <c r="N206" i="1"/>
  <c r="N225" i="1" s="1"/>
  <c r="P206" i="1"/>
  <c r="K206" i="1"/>
  <c r="L206" i="1"/>
  <c r="Q206" i="1"/>
  <c r="H206" i="1"/>
  <c r="I206" i="1"/>
  <c r="G206" i="1"/>
  <c r="J206" i="1"/>
  <c r="O210" i="1"/>
  <c r="O229" i="1" s="1"/>
  <c r="K210" i="1"/>
  <c r="Q210" i="1"/>
  <c r="J210" i="1"/>
  <c r="P210" i="1"/>
  <c r="L210" i="1"/>
  <c r="I210" i="1"/>
  <c r="G210" i="1"/>
  <c r="H210" i="1"/>
  <c r="N210" i="1"/>
  <c r="N229" i="1" s="1"/>
  <c r="H203" i="1"/>
  <c r="I203" i="1"/>
  <c r="Q203" i="1"/>
  <c r="G203" i="1"/>
  <c r="K203" i="1"/>
  <c r="L203" i="1"/>
  <c r="O203" i="1"/>
  <c r="O222" i="1" s="1"/>
  <c r="P203" i="1"/>
  <c r="J203" i="1"/>
  <c r="L214" i="1"/>
  <c r="K214" i="1"/>
  <c r="I214" i="1"/>
  <c r="H214" i="1"/>
  <c r="P214" i="1"/>
  <c r="O214" i="1"/>
  <c r="O233" i="1" s="1"/>
  <c r="G214" i="1"/>
  <c r="Q214" i="1"/>
  <c r="J214" i="1"/>
  <c r="N214" i="1"/>
  <c r="N233" i="1" s="1"/>
  <c r="T83" i="1"/>
  <c r="U83" i="1" s="1"/>
  <c r="R96" i="1"/>
  <c r="R100" i="1"/>
  <c r="R104" i="1"/>
  <c r="R97" i="1"/>
  <c r="R101" i="1"/>
  <c r="R105" i="1"/>
  <c r="R98" i="1"/>
  <c r="R102" i="1"/>
  <c r="R95" i="1"/>
  <c r="R99" i="1"/>
  <c r="R103" i="1"/>
  <c r="R84" i="1"/>
  <c r="R93" i="1"/>
  <c r="K325" i="1" l="1"/>
  <c r="L321" i="1"/>
  <c r="J321" i="1"/>
  <c r="G321" i="1"/>
  <c r="N321" i="1"/>
  <c r="N340" i="1" s="1"/>
  <c r="K321" i="1"/>
  <c r="I321" i="1"/>
  <c r="H321" i="1"/>
  <c r="Q321" i="1"/>
  <c r="Q340" i="1" s="1"/>
  <c r="P321" i="1"/>
  <c r="P340" i="1" s="1"/>
  <c r="O321" i="1"/>
  <c r="O340" i="1" s="1"/>
  <c r="K322" i="1"/>
  <c r="J322" i="1"/>
  <c r="I322" i="1"/>
  <c r="G322" i="1"/>
  <c r="Q322" i="1"/>
  <c r="Q341" i="1" s="1"/>
  <c r="O322" i="1"/>
  <c r="O341" i="1" s="1"/>
  <c r="P322" i="1"/>
  <c r="P341" i="1" s="1"/>
  <c r="N322" i="1"/>
  <c r="N341" i="1" s="1"/>
  <c r="L322" i="1"/>
  <c r="H322" i="1"/>
  <c r="K323" i="1"/>
  <c r="H323" i="1"/>
  <c r="J323" i="1"/>
  <c r="P323" i="1"/>
  <c r="P342" i="1" s="1"/>
  <c r="O323" i="1"/>
  <c r="O342" i="1" s="1"/>
  <c r="I323" i="1"/>
  <c r="N323" i="1"/>
  <c r="N342" i="1" s="1"/>
  <c r="L323" i="1"/>
  <c r="Q323" i="1"/>
  <c r="Q342" i="1" s="1"/>
  <c r="G323" i="1"/>
  <c r="Q324" i="1"/>
  <c r="Q343" i="1" s="1"/>
  <c r="P324" i="1"/>
  <c r="P343" i="1" s="1"/>
  <c r="O324" i="1"/>
  <c r="O343" i="1" s="1"/>
  <c r="L324" i="1"/>
  <c r="J324" i="1"/>
  <c r="I324" i="1"/>
  <c r="H324" i="1"/>
  <c r="G324" i="1"/>
  <c r="N324" i="1"/>
  <c r="N343" i="1" s="1"/>
  <c r="K324" i="1"/>
  <c r="N317" i="1"/>
  <c r="N336" i="1" s="1"/>
  <c r="K317" i="1"/>
  <c r="I317" i="1"/>
  <c r="H317" i="1"/>
  <c r="J317" i="1"/>
  <c r="G317" i="1"/>
  <c r="L317" i="1"/>
  <c r="Q317" i="1"/>
  <c r="Q336" i="1" s="1"/>
  <c r="P317" i="1"/>
  <c r="P336" i="1" s="1"/>
  <c r="O317" i="1"/>
  <c r="O336" i="1" s="1"/>
  <c r="H314" i="1"/>
  <c r="G314" i="1"/>
  <c r="N314" i="1"/>
  <c r="N333" i="1" s="1"/>
  <c r="L314" i="1"/>
  <c r="I314" i="1"/>
  <c r="P314" i="1"/>
  <c r="P333" i="1" s="1"/>
  <c r="O314" i="1"/>
  <c r="O333" i="1" s="1"/>
  <c r="K314" i="1"/>
  <c r="J314" i="1"/>
  <c r="Q314" i="1"/>
  <c r="Q333" i="1" s="1"/>
  <c r="G318" i="1"/>
  <c r="N318" i="1"/>
  <c r="N337" i="1" s="1"/>
  <c r="Q318" i="1"/>
  <c r="Q337" i="1" s="1"/>
  <c r="P318" i="1"/>
  <c r="P337" i="1" s="1"/>
  <c r="K318" i="1"/>
  <c r="O318" i="1"/>
  <c r="O337" i="1" s="1"/>
  <c r="L318" i="1"/>
  <c r="H318" i="1"/>
  <c r="J318" i="1"/>
  <c r="I318" i="1"/>
  <c r="I315" i="1"/>
  <c r="Q315" i="1"/>
  <c r="Q334" i="1" s="1"/>
  <c r="O315" i="1"/>
  <c r="O334" i="1" s="1"/>
  <c r="H315" i="1"/>
  <c r="P315" i="1"/>
  <c r="P334" i="1" s="1"/>
  <c r="N315" i="1"/>
  <c r="N334" i="1" s="1"/>
  <c r="L315" i="1"/>
  <c r="K315" i="1"/>
  <c r="J315" i="1"/>
  <c r="G315" i="1"/>
  <c r="J319" i="1"/>
  <c r="H319" i="1"/>
  <c r="G319" i="1"/>
  <c r="Q319" i="1"/>
  <c r="Q338" i="1" s="1"/>
  <c r="P319" i="1"/>
  <c r="P338" i="1" s="1"/>
  <c r="O319" i="1"/>
  <c r="O338" i="1" s="1"/>
  <c r="N319" i="1"/>
  <c r="N338" i="1" s="1"/>
  <c r="L319" i="1"/>
  <c r="I319" i="1"/>
  <c r="K319" i="1"/>
  <c r="L316" i="1"/>
  <c r="K316" i="1"/>
  <c r="J316" i="1"/>
  <c r="G316" i="1"/>
  <c r="P316" i="1"/>
  <c r="P335" i="1" s="1"/>
  <c r="Q316" i="1"/>
  <c r="Q335" i="1" s="1"/>
  <c r="O316" i="1"/>
  <c r="O335" i="1" s="1"/>
  <c r="N316" i="1"/>
  <c r="N335" i="1" s="1"/>
  <c r="I316" i="1"/>
  <c r="H316" i="1"/>
  <c r="N325" i="1"/>
  <c r="N344" i="1" s="1"/>
  <c r="L325" i="1"/>
  <c r="I325" i="1"/>
  <c r="J325" i="1"/>
  <c r="H325" i="1"/>
  <c r="G325" i="1"/>
  <c r="P325" i="1"/>
  <c r="P344" i="1" s="1"/>
  <c r="O325" i="1"/>
  <c r="O344" i="1" s="1"/>
  <c r="Q325" i="1"/>
  <c r="Q344" i="1" s="1"/>
  <c r="O320" i="1"/>
  <c r="O339" i="1" s="1"/>
  <c r="Q320" i="1"/>
  <c r="Q339" i="1" s="1"/>
  <c r="P320" i="1"/>
  <c r="P339" i="1" s="1"/>
  <c r="G320" i="1"/>
  <c r="N320" i="1"/>
  <c r="N339" i="1" s="1"/>
  <c r="K320" i="1"/>
  <c r="I320" i="1"/>
  <c r="L320" i="1"/>
  <c r="H320" i="1"/>
  <c r="J320" i="1"/>
  <c r="W69" i="8"/>
  <c r="X69" i="8"/>
  <c r="H46" i="8"/>
  <c r="Q46" i="8"/>
  <c r="P46" i="8"/>
  <c r="K46" i="8"/>
  <c r="G46" i="8"/>
  <c r="O46" i="8"/>
  <c r="J46" i="8"/>
  <c r="N46" i="8"/>
  <c r="L46" i="8"/>
  <c r="I46" i="8"/>
  <c r="K43" i="8"/>
  <c r="H43" i="8"/>
  <c r="P43" i="8"/>
  <c r="O43" i="8"/>
  <c r="I43" i="8"/>
  <c r="G43" i="8"/>
  <c r="J43" i="8"/>
  <c r="Q43" i="8"/>
  <c r="L43" i="8"/>
  <c r="N43" i="8"/>
  <c r="O37" i="8"/>
  <c r="L37" i="8"/>
  <c r="I37" i="8"/>
  <c r="P37" i="8"/>
  <c r="N37" i="8"/>
  <c r="G37" i="8"/>
  <c r="H37" i="8"/>
  <c r="J37" i="8"/>
  <c r="Q37" i="8"/>
  <c r="K37" i="8"/>
  <c r="W132" i="8"/>
  <c r="X132" i="8"/>
  <c r="P39" i="8"/>
  <c r="L39" i="8"/>
  <c r="J39" i="8"/>
  <c r="G39" i="8"/>
  <c r="Q39" i="8"/>
  <c r="K39" i="8"/>
  <c r="O39" i="8"/>
  <c r="N39" i="8"/>
  <c r="I39" i="8"/>
  <c r="H39" i="8"/>
  <c r="X122" i="8"/>
  <c r="W122" i="8"/>
  <c r="X129" i="8"/>
  <c r="W129" i="8"/>
  <c r="O40" i="8"/>
  <c r="K40" i="8"/>
  <c r="I40" i="8"/>
  <c r="Q40" i="8"/>
  <c r="P40" i="8"/>
  <c r="N40" i="8"/>
  <c r="J40" i="8"/>
  <c r="L40" i="8"/>
  <c r="H40" i="8"/>
  <c r="G40" i="8"/>
  <c r="X77" i="8"/>
  <c r="W77" i="8"/>
  <c r="Q38" i="8"/>
  <c r="N38" i="8"/>
  <c r="K38" i="8"/>
  <c r="H38" i="8"/>
  <c r="L38" i="8"/>
  <c r="J38" i="8"/>
  <c r="G38" i="8"/>
  <c r="I38" i="8"/>
  <c r="P38" i="8"/>
  <c r="O38" i="8"/>
  <c r="W125" i="8"/>
  <c r="X125" i="8"/>
  <c r="X124" i="8"/>
  <c r="W124" i="8"/>
  <c r="W70" i="8"/>
  <c r="X70" i="8"/>
  <c r="X79" i="8"/>
  <c r="W79" i="8"/>
  <c r="X127" i="8"/>
  <c r="W127" i="8"/>
  <c r="N41" i="8"/>
  <c r="J41" i="8"/>
  <c r="H41" i="8"/>
  <c r="G41" i="8"/>
  <c r="Q41" i="8"/>
  <c r="P41" i="8"/>
  <c r="O41" i="8"/>
  <c r="L41" i="8"/>
  <c r="K41" i="8"/>
  <c r="I41" i="8"/>
  <c r="X71" i="8"/>
  <c r="W71" i="8"/>
  <c r="I45" i="8"/>
  <c r="N45" i="8"/>
  <c r="L45" i="8"/>
  <c r="J45" i="8"/>
  <c r="K45" i="8"/>
  <c r="H45" i="8"/>
  <c r="G45" i="8"/>
  <c r="P45" i="8"/>
  <c r="O45" i="8"/>
  <c r="Q45" i="8"/>
  <c r="X133" i="8"/>
  <c r="W133" i="8"/>
  <c r="P36" i="8"/>
  <c r="N36" i="8"/>
  <c r="J36" i="8"/>
  <c r="K36" i="8"/>
  <c r="I36" i="8"/>
  <c r="Q36" i="8"/>
  <c r="O36" i="8"/>
  <c r="L36" i="8"/>
  <c r="H36" i="8"/>
  <c r="G36" i="8"/>
  <c r="W80" i="8"/>
  <c r="X80" i="8"/>
  <c r="X72" i="8"/>
  <c r="W72" i="8"/>
  <c r="W76" i="8"/>
  <c r="X76" i="8"/>
  <c r="L42" i="8"/>
  <c r="I42" i="8"/>
  <c r="G42" i="8"/>
  <c r="N42" i="8"/>
  <c r="K42" i="8"/>
  <c r="Q42" i="8"/>
  <c r="P42" i="8"/>
  <c r="O42" i="8"/>
  <c r="J42" i="8"/>
  <c r="H42" i="8"/>
  <c r="X126" i="8"/>
  <c r="W126" i="8"/>
  <c r="W73" i="8"/>
  <c r="X73" i="8"/>
  <c r="X74" i="8"/>
  <c r="W74" i="8"/>
  <c r="X123" i="8"/>
  <c r="W123" i="8"/>
  <c r="J44" i="8"/>
  <c r="G44" i="8"/>
  <c r="Q44" i="8"/>
  <c r="L44" i="8"/>
  <c r="K44" i="8"/>
  <c r="H44" i="8"/>
  <c r="I44" i="8"/>
  <c r="P44" i="8"/>
  <c r="O44" i="8"/>
  <c r="N44" i="8"/>
  <c r="X131" i="8"/>
  <c r="W131" i="8"/>
  <c r="W78" i="8"/>
  <c r="X78" i="8"/>
  <c r="G47" i="8"/>
  <c r="P47" i="8"/>
  <c r="N47" i="8"/>
  <c r="Q47" i="8"/>
  <c r="O47" i="8"/>
  <c r="L47" i="8"/>
  <c r="K47" i="8"/>
  <c r="J47" i="8"/>
  <c r="I47" i="8"/>
  <c r="H47" i="8"/>
  <c r="X130" i="8"/>
  <c r="W130" i="8"/>
  <c r="W128" i="8"/>
  <c r="X128" i="8"/>
  <c r="X75" i="8"/>
  <c r="W75" i="8"/>
  <c r="U94" i="1"/>
  <c r="W94" i="1" s="1"/>
  <c r="U155" i="1"/>
  <c r="U160" i="1"/>
  <c r="U156" i="1"/>
  <c r="U149" i="1"/>
  <c r="U157" i="1"/>
  <c r="U150" i="1"/>
  <c r="U153" i="1"/>
  <c r="U158" i="1"/>
  <c r="U151" i="1"/>
  <c r="U105" i="1"/>
  <c r="W105" i="1" s="1"/>
  <c r="U154" i="1"/>
  <c r="U159" i="1"/>
  <c r="U152" i="1"/>
  <c r="X105" i="1" l="1"/>
  <c r="N105" i="1" s="1"/>
  <c r="Q127" i="8"/>
  <c r="Q145" i="8" s="1"/>
  <c r="N127" i="8"/>
  <c r="N145" i="8" s="1"/>
  <c r="K127" i="8"/>
  <c r="K145" i="8" s="1"/>
  <c r="J127" i="8"/>
  <c r="J145" i="8" s="1"/>
  <c r="H127" i="8"/>
  <c r="P127" i="8"/>
  <c r="P145" i="8" s="1"/>
  <c r="O127" i="8"/>
  <c r="O145" i="8" s="1"/>
  <c r="G127" i="8"/>
  <c r="L127" i="8"/>
  <c r="L145" i="8" s="1"/>
  <c r="I127" i="8"/>
  <c r="O79" i="8"/>
  <c r="O97" i="8" s="1"/>
  <c r="K79" i="8"/>
  <c r="K97" i="8" s="1"/>
  <c r="I79" i="8"/>
  <c r="N79" i="8"/>
  <c r="N97" i="8" s="1"/>
  <c r="L79" i="8"/>
  <c r="L97" i="8" s="1"/>
  <c r="J79" i="8"/>
  <c r="J97" i="8" s="1"/>
  <c r="H79" i="8"/>
  <c r="G79" i="8"/>
  <c r="Q79" i="8"/>
  <c r="Q97" i="8" s="1"/>
  <c r="P79" i="8"/>
  <c r="P97" i="8" s="1"/>
  <c r="Q122" i="8"/>
  <c r="Q140" i="8" s="1"/>
  <c r="P122" i="8"/>
  <c r="P140" i="8" s="1"/>
  <c r="N122" i="8"/>
  <c r="N140" i="8" s="1"/>
  <c r="O122" i="8"/>
  <c r="O140" i="8" s="1"/>
  <c r="L122" i="8"/>
  <c r="L140" i="8" s="1"/>
  <c r="K122" i="8"/>
  <c r="K140" i="8" s="1"/>
  <c r="J122" i="8"/>
  <c r="J140" i="8" s="1"/>
  <c r="I122" i="8"/>
  <c r="H122" i="8"/>
  <c r="G122" i="8"/>
  <c r="O71" i="8"/>
  <c r="O89" i="8" s="1"/>
  <c r="L71" i="8"/>
  <c r="L89" i="8" s="1"/>
  <c r="P71" i="8"/>
  <c r="P89" i="8" s="1"/>
  <c r="Q71" i="8"/>
  <c r="Q89" i="8" s="1"/>
  <c r="N71" i="8"/>
  <c r="N89" i="8" s="1"/>
  <c r="J71" i="8"/>
  <c r="J89" i="8" s="1"/>
  <c r="K71" i="8"/>
  <c r="K89" i="8" s="1"/>
  <c r="I71" i="8"/>
  <c r="H71" i="8"/>
  <c r="G71" i="8"/>
  <c r="Q77" i="8"/>
  <c r="Q95" i="8" s="1"/>
  <c r="N77" i="8"/>
  <c r="N95" i="8" s="1"/>
  <c r="K77" i="8"/>
  <c r="K95" i="8" s="1"/>
  <c r="H77" i="8"/>
  <c r="P77" i="8"/>
  <c r="P95" i="8" s="1"/>
  <c r="O77" i="8"/>
  <c r="O95" i="8" s="1"/>
  <c r="L77" i="8"/>
  <c r="L95" i="8" s="1"/>
  <c r="J77" i="8"/>
  <c r="J95" i="8" s="1"/>
  <c r="I77" i="8"/>
  <c r="G77" i="8"/>
  <c r="O129" i="8"/>
  <c r="O147" i="8" s="1"/>
  <c r="K129" i="8"/>
  <c r="K147" i="8" s="1"/>
  <c r="I129" i="8"/>
  <c r="H129" i="8"/>
  <c r="J129" i="8"/>
  <c r="J147" i="8" s="1"/>
  <c r="G129" i="8"/>
  <c r="Q129" i="8"/>
  <c r="Q147" i="8" s="1"/>
  <c r="P129" i="8"/>
  <c r="P147" i="8" s="1"/>
  <c r="N129" i="8"/>
  <c r="N147" i="8" s="1"/>
  <c r="L129" i="8"/>
  <c r="L147" i="8" s="1"/>
  <c r="G70" i="8"/>
  <c r="P70" i="8"/>
  <c r="P88" i="8" s="1"/>
  <c r="Q70" i="8"/>
  <c r="Q88" i="8" s="1"/>
  <c r="K70" i="8"/>
  <c r="K88" i="8" s="1"/>
  <c r="J70" i="8"/>
  <c r="J88" i="8" s="1"/>
  <c r="O70" i="8"/>
  <c r="O88" i="8" s="1"/>
  <c r="N70" i="8"/>
  <c r="N88" i="8" s="1"/>
  <c r="L70" i="8"/>
  <c r="L88" i="8" s="1"/>
  <c r="I70" i="8"/>
  <c r="H70" i="8"/>
  <c r="H69" i="8"/>
  <c r="Q69" i="8"/>
  <c r="Q87" i="8" s="1"/>
  <c r="P69" i="8"/>
  <c r="P87" i="8" s="1"/>
  <c r="N69" i="8"/>
  <c r="N87" i="8" s="1"/>
  <c r="J69" i="8"/>
  <c r="J87" i="8" s="1"/>
  <c r="I69" i="8"/>
  <c r="L69" i="8"/>
  <c r="L87" i="8" s="1"/>
  <c r="K69" i="8"/>
  <c r="K87" i="8" s="1"/>
  <c r="G69" i="8"/>
  <c r="O69" i="8"/>
  <c r="O87" i="8" s="1"/>
  <c r="P123" i="8"/>
  <c r="P141" i="8" s="1"/>
  <c r="O123" i="8"/>
  <c r="O141" i="8" s="1"/>
  <c r="L123" i="8"/>
  <c r="L141" i="8" s="1"/>
  <c r="Q123" i="8"/>
  <c r="Q141" i="8" s="1"/>
  <c r="N123" i="8"/>
  <c r="N141" i="8" s="1"/>
  <c r="K123" i="8"/>
  <c r="K141" i="8" s="1"/>
  <c r="J123" i="8"/>
  <c r="J141" i="8" s="1"/>
  <c r="I123" i="8"/>
  <c r="H123" i="8"/>
  <c r="G123" i="8"/>
  <c r="Q124" i="8"/>
  <c r="Q142" i="8" s="1"/>
  <c r="O124" i="8"/>
  <c r="O142" i="8" s="1"/>
  <c r="N124" i="8"/>
  <c r="N142" i="8" s="1"/>
  <c r="K124" i="8"/>
  <c r="K142" i="8" s="1"/>
  <c r="P124" i="8"/>
  <c r="P142" i="8" s="1"/>
  <c r="J124" i="8"/>
  <c r="J142" i="8" s="1"/>
  <c r="L124" i="8"/>
  <c r="L142" i="8" s="1"/>
  <c r="I124" i="8"/>
  <c r="H124" i="8"/>
  <c r="G124" i="8"/>
  <c r="K132" i="8"/>
  <c r="K150" i="8" s="1"/>
  <c r="H132" i="8"/>
  <c r="Q132" i="8"/>
  <c r="Q150" i="8" s="1"/>
  <c r="P132" i="8"/>
  <c r="P150" i="8" s="1"/>
  <c r="O132" i="8"/>
  <c r="O150" i="8" s="1"/>
  <c r="N132" i="8"/>
  <c r="N150" i="8" s="1"/>
  <c r="L132" i="8"/>
  <c r="L150" i="8" s="1"/>
  <c r="J132" i="8"/>
  <c r="J150" i="8" s="1"/>
  <c r="I132" i="8"/>
  <c r="G132" i="8"/>
  <c r="Q74" i="8"/>
  <c r="Q92" i="8" s="1"/>
  <c r="O74" i="8"/>
  <c r="O92" i="8" s="1"/>
  <c r="K74" i="8"/>
  <c r="K92" i="8" s="1"/>
  <c r="P74" i="8"/>
  <c r="P92" i="8" s="1"/>
  <c r="N74" i="8"/>
  <c r="N92" i="8" s="1"/>
  <c r="L74" i="8"/>
  <c r="L92" i="8" s="1"/>
  <c r="J74" i="8"/>
  <c r="J92" i="8" s="1"/>
  <c r="H74" i="8"/>
  <c r="G74" i="8"/>
  <c r="I74" i="8"/>
  <c r="Q133" i="8"/>
  <c r="Q151" i="8" s="1"/>
  <c r="J133" i="8"/>
  <c r="J151" i="8" s="1"/>
  <c r="G133" i="8"/>
  <c r="I133" i="8"/>
  <c r="H133" i="8"/>
  <c r="P133" i="8"/>
  <c r="P151" i="8" s="1"/>
  <c r="O133" i="8"/>
  <c r="O151" i="8" s="1"/>
  <c r="N133" i="8"/>
  <c r="N151" i="8" s="1"/>
  <c r="L133" i="8"/>
  <c r="L151" i="8" s="1"/>
  <c r="K133" i="8"/>
  <c r="K151" i="8" s="1"/>
  <c r="P125" i="8"/>
  <c r="P143" i="8" s="1"/>
  <c r="N125" i="8"/>
  <c r="N143" i="8" s="1"/>
  <c r="L125" i="8"/>
  <c r="L143" i="8" s="1"/>
  <c r="J125" i="8"/>
  <c r="J143" i="8" s="1"/>
  <c r="H125" i="8"/>
  <c r="G125" i="8"/>
  <c r="Q125" i="8"/>
  <c r="Q143" i="8" s="1"/>
  <c r="O125" i="8"/>
  <c r="O143" i="8" s="1"/>
  <c r="K125" i="8"/>
  <c r="K143" i="8" s="1"/>
  <c r="I125" i="8"/>
  <c r="L131" i="8"/>
  <c r="L149" i="8" s="1"/>
  <c r="I131" i="8"/>
  <c r="G131" i="8"/>
  <c r="Q131" i="8"/>
  <c r="Q149" i="8" s="1"/>
  <c r="P131" i="8"/>
  <c r="P149" i="8" s="1"/>
  <c r="O131" i="8"/>
  <c r="O149" i="8" s="1"/>
  <c r="N131" i="8"/>
  <c r="N149" i="8" s="1"/>
  <c r="K131" i="8"/>
  <c r="K149" i="8" s="1"/>
  <c r="J131" i="8"/>
  <c r="J149" i="8" s="1"/>
  <c r="H131" i="8"/>
  <c r="Q72" i="8"/>
  <c r="Q90" i="8" s="1"/>
  <c r="N72" i="8"/>
  <c r="N90" i="8" s="1"/>
  <c r="H72" i="8"/>
  <c r="G72" i="8"/>
  <c r="L72" i="8"/>
  <c r="L90" i="8" s="1"/>
  <c r="P72" i="8"/>
  <c r="P90" i="8" s="1"/>
  <c r="O72" i="8"/>
  <c r="O90" i="8" s="1"/>
  <c r="K72" i="8"/>
  <c r="K90" i="8" s="1"/>
  <c r="J72" i="8"/>
  <c r="J90" i="8" s="1"/>
  <c r="I72" i="8"/>
  <c r="O76" i="8"/>
  <c r="O94" i="8" s="1"/>
  <c r="L76" i="8"/>
  <c r="L94" i="8" s="1"/>
  <c r="I76" i="8"/>
  <c r="Q76" i="8"/>
  <c r="Q94" i="8" s="1"/>
  <c r="K76" i="8"/>
  <c r="K94" i="8" s="1"/>
  <c r="P76" i="8"/>
  <c r="P94" i="8" s="1"/>
  <c r="H76" i="8"/>
  <c r="N76" i="8"/>
  <c r="N94" i="8" s="1"/>
  <c r="G76" i="8"/>
  <c r="J76" i="8"/>
  <c r="J94" i="8" s="1"/>
  <c r="P73" i="8"/>
  <c r="P91" i="8" s="1"/>
  <c r="L73" i="8"/>
  <c r="L91" i="8" s="1"/>
  <c r="J73" i="8"/>
  <c r="J91" i="8" s="1"/>
  <c r="I73" i="8"/>
  <c r="H73" i="8"/>
  <c r="G73" i="8"/>
  <c r="Q73" i="8"/>
  <c r="Q91" i="8" s="1"/>
  <c r="O73" i="8"/>
  <c r="O91" i="8" s="1"/>
  <c r="N73" i="8"/>
  <c r="N91" i="8" s="1"/>
  <c r="K73" i="8"/>
  <c r="K91" i="8" s="1"/>
  <c r="P75" i="8"/>
  <c r="P93" i="8" s="1"/>
  <c r="N75" i="8"/>
  <c r="N93" i="8" s="1"/>
  <c r="J75" i="8"/>
  <c r="J93" i="8" s="1"/>
  <c r="Q75" i="8"/>
  <c r="Q93" i="8" s="1"/>
  <c r="L75" i="8"/>
  <c r="L93" i="8" s="1"/>
  <c r="K75" i="8"/>
  <c r="K93" i="8" s="1"/>
  <c r="H75" i="8"/>
  <c r="I75" i="8"/>
  <c r="G75" i="8"/>
  <c r="O75" i="8"/>
  <c r="O93" i="8" s="1"/>
  <c r="N130" i="8"/>
  <c r="N148" i="8" s="1"/>
  <c r="J130" i="8"/>
  <c r="J148" i="8" s="1"/>
  <c r="H130" i="8"/>
  <c r="G130" i="8"/>
  <c r="Q130" i="8"/>
  <c r="Q148" i="8" s="1"/>
  <c r="P130" i="8"/>
  <c r="P148" i="8" s="1"/>
  <c r="O130" i="8"/>
  <c r="O148" i="8" s="1"/>
  <c r="L130" i="8"/>
  <c r="L148" i="8" s="1"/>
  <c r="K130" i="8"/>
  <c r="K148" i="8" s="1"/>
  <c r="I130" i="8"/>
  <c r="O126" i="8"/>
  <c r="O144" i="8" s="1"/>
  <c r="L126" i="8"/>
  <c r="L144" i="8" s="1"/>
  <c r="K126" i="8"/>
  <c r="K144" i="8" s="1"/>
  <c r="I126" i="8"/>
  <c r="P126" i="8"/>
  <c r="P144" i="8" s="1"/>
  <c r="N126" i="8"/>
  <c r="N144" i="8" s="1"/>
  <c r="J126" i="8"/>
  <c r="J144" i="8" s="1"/>
  <c r="H126" i="8"/>
  <c r="G126" i="8"/>
  <c r="Q126" i="8"/>
  <c r="Q144" i="8" s="1"/>
  <c r="P128" i="8"/>
  <c r="P146" i="8" s="1"/>
  <c r="L128" i="8"/>
  <c r="L146" i="8" s="1"/>
  <c r="J128" i="8"/>
  <c r="J146" i="8" s="1"/>
  <c r="I128" i="8"/>
  <c r="G128" i="8"/>
  <c r="Q128" i="8"/>
  <c r="Q146" i="8" s="1"/>
  <c r="N128" i="8"/>
  <c r="N146" i="8" s="1"/>
  <c r="O128" i="8"/>
  <c r="O146" i="8" s="1"/>
  <c r="K128" i="8"/>
  <c r="K146" i="8" s="1"/>
  <c r="H128" i="8"/>
  <c r="N80" i="8"/>
  <c r="N98" i="8" s="1"/>
  <c r="J80" i="8"/>
  <c r="J98" i="8" s="1"/>
  <c r="H80" i="8"/>
  <c r="Q80" i="8"/>
  <c r="Q98" i="8" s="1"/>
  <c r="P80" i="8"/>
  <c r="P98" i="8" s="1"/>
  <c r="O80" i="8"/>
  <c r="O98" i="8" s="1"/>
  <c r="L80" i="8"/>
  <c r="L98" i="8" s="1"/>
  <c r="K80" i="8"/>
  <c r="K98" i="8" s="1"/>
  <c r="I80" i="8"/>
  <c r="G80" i="8"/>
  <c r="P78" i="8"/>
  <c r="P96" i="8" s="1"/>
  <c r="L78" i="8"/>
  <c r="L96" i="8" s="1"/>
  <c r="J78" i="8"/>
  <c r="J96" i="8" s="1"/>
  <c r="G78" i="8"/>
  <c r="I78" i="8"/>
  <c r="H78" i="8"/>
  <c r="Q78" i="8"/>
  <c r="Q96" i="8" s="1"/>
  <c r="O78" i="8"/>
  <c r="O96" i="8" s="1"/>
  <c r="N78" i="8"/>
  <c r="N96" i="8" s="1"/>
  <c r="K78" i="8"/>
  <c r="K96" i="8" s="1"/>
  <c r="X94" i="1"/>
  <c r="G94" i="1" s="1"/>
  <c r="W151" i="1"/>
  <c r="X151" i="1"/>
  <c r="X153" i="1"/>
  <c r="W153" i="1"/>
  <c r="X157" i="1"/>
  <c r="W157" i="1"/>
  <c r="W156" i="1"/>
  <c r="X156" i="1"/>
  <c r="W155" i="1"/>
  <c r="X155" i="1"/>
  <c r="W152" i="1"/>
  <c r="X152" i="1"/>
  <c r="X154" i="1"/>
  <c r="W154" i="1"/>
  <c r="W159" i="1"/>
  <c r="X159" i="1"/>
  <c r="W158" i="1"/>
  <c r="X158" i="1"/>
  <c r="X149" i="1"/>
  <c r="W149" i="1"/>
  <c r="X160" i="1"/>
  <c r="W160" i="1"/>
  <c r="X150" i="1"/>
  <c r="W150" i="1"/>
  <c r="N149" i="1" l="1"/>
  <c r="N168" i="1" s="1"/>
  <c r="K94" i="1"/>
  <c r="Q94" i="1"/>
  <c r="H94" i="1"/>
  <c r="P94" i="1"/>
  <c r="N94" i="1"/>
  <c r="N113" i="1" s="1"/>
  <c r="O94" i="1"/>
  <c r="J94" i="1"/>
  <c r="L94" i="1"/>
  <c r="L113" i="1" s="1"/>
  <c r="I94" i="1"/>
  <c r="L149" i="1"/>
  <c r="L168" i="1" s="1"/>
  <c r="I149" i="1"/>
  <c r="H149" i="1"/>
  <c r="P149" i="1"/>
  <c r="O149" i="1"/>
  <c r="O168" i="1" s="1"/>
  <c r="F222" i="5" s="1"/>
  <c r="G222" i="5" s="1"/>
  <c r="G149" i="1"/>
  <c r="Q149" i="1"/>
  <c r="J149" i="1"/>
  <c r="K149" i="1"/>
  <c r="Q159" i="1"/>
  <c r="G159" i="1"/>
  <c r="L159" i="1"/>
  <c r="L178" i="1" s="1"/>
  <c r="N159" i="1"/>
  <c r="N178" i="1" s="1"/>
  <c r="O159" i="1"/>
  <c r="O178" i="1" s="1"/>
  <c r="H159" i="1"/>
  <c r="K159" i="1"/>
  <c r="J159" i="1"/>
  <c r="P159" i="1"/>
  <c r="I159" i="1"/>
  <c r="N152" i="1"/>
  <c r="N171" i="1" s="1"/>
  <c r="H152" i="1"/>
  <c r="I152" i="1"/>
  <c r="Q152" i="1"/>
  <c r="P152" i="1"/>
  <c r="K152" i="1"/>
  <c r="L152" i="1"/>
  <c r="L171" i="1" s="1"/>
  <c r="J152" i="1"/>
  <c r="G152" i="1"/>
  <c r="O152" i="1"/>
  <c r="O171" i="1" s="1"/>
  <c r="J156" i="1"/>
  <c r="K156" i="1"/>
  <c r="Q156" i="1"/>
  <c r="N156" i="1"/>
  <c r="N175" i="1" s="1"/>
  <c r="G156" i="1"/>
  <c r="H156" i="1"/>
  <c r="O156" i="1"/>
  <c r="O175" i="1" s="1"/>
  <c r="I156" i="1"/>
  <c r="L156" i="1"/>
  <c r="L175" i="1" s="1"/>
  <c r="P156" i="1"/>
  <c r="P160" i="1"/>
  <c r="Q160" i="1"/>
  <c r="K160" i="1"/>
  <c r="H160" i="1"/>
  <c r="N160" i="1"/>
  <c r="N179" i="1" s="1"/>
  <c r="G160" i="1"/>
  <c r="O160" i="1"/>
  <c r="O179" i="1" s="1"/>
  <c r="I160" i="1"/>
  <c r="J160" i="1"/>
  <c r="L160" i="1"/>
  <c r="L179" i="1" s="1"/>
  <c r="K154" i="1"/>
  <c r="J154" i="1"/>
  <c r="O154" i="1"/>
  <c r="O173" i="1" s="1"/>
  <c r="G154" i="1"/>
  <c r="L154" i="1"/>
  <c r="L173" i="1" s="1"/>
  <c r="N154" i="1"/>
  <c r="N173" i="1" s="1"/>
  <c r="Q154" i="1"/>
  <c r="P154" i="1"/>
  <c r="I154" i="1"/>
  <c r="H154" i="1"/>
  <c r="H157" i="1"/>
  <c r="P157" i="1"/>
  <c r="O157" i="1"/>
  <c r="O176" i="1" s="1"/>
  <c r="G157" i="1"/>
  <c r="Q157" i="1"/>
  <c r="J157" i="1"/>
  <c r="N157" i="1"/>
  <c r="N176" i="1" s="1"/>
  <c r="L157" i="1"/>
  <c r="L176" i="1" s="1"/>
  <c r="I157" i="1"/>
  <c r="K157" i="1"/>
  <c r="O151" i="1"/>
  <c r="O170" i="1" s="1"/>
  <c r="K150" i="1"/>
  <c r="Q150" i="1"/>
  <c r="L150" i="1"/>
  <c r="L169" i="1" s="1"/>
  <c r="G150" i="1"/>
  <c r="H150" i="1"/>
  <c r="N150" i="1"/>
  <c r="N169" i="1" s="1"/>
  <c r="J150" i="1"/>
  <c r="P150" i="1"/>
  <c r="I150" i="1"/>
  <c r="O150" i="1"/>
  <c r="O169" i="1" s="1"/>
  <c r="O153" i="1"/>
  <c r="O172" i="1" s="1"/>
  <c r="N153" i="1"/>
  <c r="N172" i="1" s="1"/>
  <c r="Q153" i="1"/>
  <c r="J153" i="1"/>
  <c r="K153" i="1"/>
  <c r="L153" i="1"/>
  <c r="L172" i="1" s="1"/>
  <c r="P153" i="1"/>
  <c r="I153" i="1"/>
  <c r="H153" i="1"/>
  <c r="G153" i="1"/>
  <c r="K158" i="1"/>
  <c r="L158" i="1"/>
  <c r="L177" i="1" s="1"/>
  <c r="O158" i="1"/>
  <c r="O177" i="1" s="1"/>
  <c r="G158" i="1"/>
  <c r="J158" i="1"/>
  <c r="N158" i="1"/>
  <c r="N177" i="1" s="1"/>
  <c r="Q158" i="1"/>
  <c r="P158" i="1"/>
  <c r="I158" i="1"/>
  <c r="H158" i="1"/>
  <c r="K155" i="1"/>
  <c r="L155" i="1"/>
  <c r="L174" i="1" s="1"/>
  <c r="O155" i="1"/>
  <c r="O174" i="1" s="1"/>
  <c r="H155" i="1"/>
  <c r="J155" i="1"/>
  <c r="G155" i="1"/>
  <c r="I155" i="1"/>
  <c r="Q155" i="1"/>
  <c r="N155" i="1"/>
  <c r="N174" i="1" s="1"/>
  <c r="P155" i="1"/>
  <c r="N151" i="1"/>
  <c r="N170" i="1" s="1"/>
  <c r="K151" i="1"/>
  <c r="L151" i="1"/>
  <c r="L170" i="1" s="1"/>
  <c r="G151" i="1"/>
  <c r="I151" i="1"/>
  <c r="P151" i="1"/>
  <c r="H151" i="1"/>
  <c r="J151" i="1"/>
  <c r="Q151" i="1"/>
  <c r="H222" i="5" l="1"/>
  <c r="T222" i="1"/>
  <c r="Y222" i="1" l="1"/>
  <c r="Y168" i="1"/>
  <c r="T87" i="8"/>
  <c r="T140" i="8"/>
  <c r="Y140" i="8" s="1"/>
  <c r="T193" i="8"/>
  <c r="O222" i="5"/>
  <c r="T40" i="1"/>
  <c r="T41" i="1"/>
  <c r="T42" i="1"/>
  <c r="T43" i="1"/>
  <c r="T44" i="1"/>
  <c r="T45" i="1"/>
  <c r="T46" i="1"/>
  <c r="T47" i="1"/>
  <c r="T48" i="1"/>
  <c r="T49" i="1"/>
  <c r="T50" i="1"/>
  <c r="M27" i="1"/>
  <c r="B25" i="1"/>
  <c r="F39" i="1"/>
  <c r="F50" i="1"/>
  <c r="F40" i="1"/>
  <c r="F41" i="1"/>
  <c r="F42" i="1"/>
  <c r="F43" i="1"/>
  <c r="F44" i="1"/>
  <c r="F45" i="1"/>
  <c r="F46" i="1"/>
  <c r="F47" i="1"/>
  <c r="F48" i="1"/>
  <c r="F49" i="1"/>
  <c r="D40" i="1"/>
  <c r="D41" i="1"/>
  <c r="D42" i="1"/>
  <c r="D43" i="1"/>
  <c r="D44" i="1"/>
  <c r="D45" i="1"/>
  <c r="D46" i="1"/>
  <c r="D47" i="1"/>
  <c r="D48" i="1"/>
  <c r="D49" i="1"/>
  <c r="D50" i="1"/>
  <c r="D39" i="1"/>
  <c r="R13" i="1"/>
  <c r="S174" i="8" l="1"/>
  <c r="Y193" i="8"/>
  <c r="N24" i="1"/>
  <c r="N26" i="1" s="1"/>
  <c r="N38" i="1" s="1"/>
  <c r="O24" i="1"/>
  <c r="O26" i="1" s="1"/>
  <c r="B26" i="1"/>
  <c r="B27" i="1" s="1"/>
  <c r="B28" i="1" s="1"/>
  <c r="B29" i="1" s="1"/>
  <c r="F67" i="4"/>
  <c r="C67" i="4"/>
  <c r="F63" i="4"/>
  <c r="F64" i="4" s="1"/>
  <c r="C63" i="4"/>
  <c r="C64" i="4" s="1"/>
  <c r="L27" i="4"/>
  <c r="L23" i="4"/>
  <c r="L24" i="4" s="1"/>
  <c r="N27" i="1" l="1"/>
  <c r="O27" i="1"/>
  <c r="O38" i="1"/>
  <c r="P24" i="1"/>
  <c r="P26" i="1" s="1"/>
  <c r="C65" i="4"/>
  <c r="F65" i="4"/>
  <c r="L25" i="4"/>
  <c r="L28" i="4"/>
  <c r="L29" i="4" s="1"/>
  <c r="L30" i="4" s="1"/>
  <c r="L31" i="4" s="1"/>
  <c r="L32" i="4" s="1"/>
  <c r="F27" i="4"/>
  <c r="I47" i="4"/>
  <c r="I43" i="4"/>
  <c r="I45" i="4" s="1"/>
  <c r="F47" i="4"/>
  <c r="F43" i="4"/>
  <c r="F45" i="4" s="1"/>
  <c r="C47" i="4"/>
  <c r="C43" i="4"/>
  <c r="C45" i="4" s="1"/>
  <c r="I27" i="4"/>
  <c r="I23" i="4"/>
  <c r="I24" i="4" s="1"/>
  <c r="F23" i="4"/>
  <c r="F25" i="4" s="1"/>
  <c r="C27" i="4"/>
  <c r="C23" i="4"/>
  <c r="C24" i="4" s="1"/>
  <c r="F68" i="4" l="1"/>
  <c r="F69" i="4" s="1"/>
  <c r="F70" i="4" s="1"/>
  <c r="F71" i="4" s="1"/>
  <c r="C68" i="4"/>
  <c r="C69" i="4" s="1"/>
  <c r="C70" i="4" s="1"/>
  <c r="C71" i="4" s="1"/>
  <c r="P27" i="1"/>
  <c r="P38" i="1"/>
  <c r="Q24" i="1"/>
  <c r="Q26" i="1" s="1"/>
  <c r="L33" i="4"/>
  <c r="L34" i="4" s="1"/>
  <c r="L35" i="4" s="1"/>
  <c r="L36" i="4" s="1"/>
  <c r="L37" i="4" s="1"/>
  <c r="L38" i="4" s="1"/>
  <c r="I48" i="4"/>
  <c r="I49" i="4" s="1"/>
  <c r="I50" i="4" s="1"/>
  <c r="I51" i="4" s="1"/>
  <c r="F28" i="4"/>
  <c r="F29" i="4" s="1"/>
  <c r="F30" i="4" s="1"/>
  <c r="F31" i="4" s="1"/>
  <c r="F48" i="4"/>
  <c r="F49" i="4" s="1"/>
  <c r="F50" i="4" s="1"/>
  <c r="F51" i="4" s="1"/>
  <c r="C48" i="4"/>
  <c r="C49" i="4" s="1"/>
  <c r="C50" i="4" s="1"/>
  <c r="C51" i="4" s="1"/>
  <c r="I28" i="4"/>
  <c r="I29" i="4" s="1"/>
  <c r="I30" i="4" s="1"/>
  <c r="I31" i="4" s="1"/>
  <c r="I32" i="4" s="1"/>
  <c r="I25" i="4"/>
  <c r="C28" i="4"/>
  <c r="C29" i="4" s="1"/>
  <c r="C30" i="4" s="1"/>
  <c r="C31" i="4" s="1"/>
  <c r="C32" i="4" s="1"/>
  <c r="F44" i="4"/>
  <c r="I44" i="4"/>
  <c r="C44" i="4"/>
  <c r="F24" i="4"/>
  <c r="C25" i="4"/>
  <c r="F72" i="4" l="1"/>
  <c r="F73" i="4" s="1"/>
  <c r="F74" i="4" s="1"/>
  <c r="F75" i="4" s="1"/>
  <c r="F76" i="4" s="1"/>
  <c r="F77" i="4" s="1"/>
  <c r="F78" i="4" s="1"/>
  <c r="I52" i="4"/>
  <c r="I53" i="4" s="1"/>
  <c r="I54" i="4" s="1"/>
  <c r="I55" i="4" s="1"/>
  <c r="I56" i="4" s="1"/>
  <c r="I57" i="4" s="1"/>
  <c r="I58" i="4" s="1"/>
  <c r="C72" i="4"/>
  <c r="C73" i="4" s="1"/>
  <c r="C74" i="4" s="1"/>
  <c r="C75" i="4" s="1"/>
  <c r="C76" i="4" s="1"/>
  <c r="C77" i="4" s="1"/>
  <c r="C78" i="4" s="1"/>
  <c r="Q38" i="1"/>
  <c r="Q27" i="1"/>
  <c r="R24" i="1"/>
  <c r="R26" i="1" s="1"/>
  <c r="F52" i="4"/>
  <c r="F53" i="4" s="1"/>
  <c r="F54" i="4" s="1"/>
  <c r="F55" i="4" s="1"/>
  <c r="F56" i="4" s="1"/>
  <c r="F57" i="4" s="1"/>
  <c r="F58" i="4" s="1"/>
  <c r="F32" i="4"/>
  <c r="F33" i="4" s="1"/>
  <c r="F34" i="4" s="1"/>
  <c r="F35" i="4" s="1"/>
  <c r="F36" i="4" s="1"/>
  <c r="F37" i="4" s="1"/>
  <c r="F38" i="4" s="1"/>
  <c r="C52" i="4"/>
  <c r="C53" i="4" s="1"/>
  <c r="C54" i="4" s="1"/>
  <c r="C55" i="4" s="1"/>
  <c r="C56" i="4" s="1"/>
  <c r="C57" i="4" s="1"/>
  <c r="C58" i="4" s="1"/>
  <c r="I33" i="4"/>
  <c r="I34" i="4" s="1"/>
  <c r="I35" i="4" s="1"/>
  <c r="I36" i="4" s="1"/>
  <c r="I37" i="4" s="1"/>
  <c r="I38" i="4" s="1"/>
  <c r="C33" i="4"/>
  <c r="C34" i="4" s="1"/>
  <c r="C35" i="4" s="1"/>
  <c r="C36" i="4" s="1"/>
  <c r="C37" i="4" s="1"/>
  <c r="C38" i="4" s="1"/>
  <c r="U100" i="1" l="1"/>
  <c r="U99" i="1"/>
  <c r="U98" i="1"/>
  <c r="U97" i="1"/>
  <c r="U104" i="1"/>
  <c r="U96" i="1"/>
  <c r="U103" i="1"/>
  <c r="U102" i="1"/>
  <c r="U101" i="1"/>
  <c r="U95" i="1"/>
  <c r="R39" i="1"/>
  <c r="R38" i="1"/>
  <c r="R49" i="1"/>
  <c r="U49" i="1" s="1"/>
  <c r="R42" i="1"/>
  <c r="U42" i="1" s="1"/>
  <c r="R46" i="1"/>
  <c r="U46" i="1" s="1"/>
  <c r="R50" i="1"/>
  <c r="U50" i="1" s="1"/>
  <c r="R43" i="1"/>
  <c r="U43" i="1" s="1"/>
  <c r="R47" i="1"/>
  <c r="U47" i="1" s="1"/>
  <c r="R40" i="1"/>
  <c r="U40" i="1" s="1"/>
  <c r="R44" i="1"/>
  <c r="U44" i="1" s="1"/>
  <c r="R48" i="1"/>
  <c r="U48" i="1" s="1"/>
  <c r="R41" i="1"/>
  <c r="U41" i="1" s="1"/>
  <c r="R45" i="1"/>
  <c r="U45" i="1" s="1"/>
  <c r="R27" i="1"/>
  <c r="W103" i="1" l="1"/>
  <c r="X103" i="1"/>
  <c r="W98" i="1"/>
  <c r="X98" i="1"/>
  <c r="W95" i="1"/>
  <c r="X95" i="1"/>
  <c r="X96" i="1"/>
  <c r="W96" i="1"/>
  <c r="W99" i="1"/>
  <c r="X99" i="1"/>
  <c r="X101" i="1"/>
  <c r="W101" i="1"/>
  <c r="X104" i="1"/>
  <c r="W104" i="1"/>
  <c r="X102" i="1"/>
  <c r="W102" i="1"/>
  <c r="X97" i="1"/>
  <c r="W97" i="1"/>
  <c r="X100" i="1"/>
  <c r="W100" i="1"/>
  <c r="X45" i="1"/>
  <c r="W45" i="1"/>
  <c r="W40" i="1"/>
  <c r="X40" i="1"/>
  <c r="X46" i="1"/>
  <c r="W46" i="1"/>
  <c r="W41" i="1"/>
  <c r="X41" i="1"/>
  <c r="W47" i="1"/>
  <c r="X47" i="1"/>
  <c r="X42" i="1"/>
  <c r="W42" i="1"/>
  <c r="X48" i="1"/>
  <c r="W48" i="1"/>
  <c r="W43" i="1"/>
  <c r="X43" i="1"/>
  <c r="X49" i="1"/>
  <c r="W49" i="1"/>
  <c r="X44" i="1"/>
  <c r="W44" i="1"/>
  <c r="W50" i="1"/>
  <c r="X50" i="1"/>
  <c r="U39" i="1"/>
  <c r="W39" i="1" s="1"/>
  <c r="K99" i="1" l="1"/>
  <c r="N99" i="1"/>
  <c r="N118" i="1" s="1"/>
  <c r="H48" i="1"/>
  <c r="I48" i="1"/>
  <c r="J48" i="1"/>
  <c r="K48" i="1"/>
  <c r="K67" i="1" s="1"/>
  <c r="L48" i="1"/>
  <c r="L67" i="1" s="1"/>
  <c r="G48" i="1"/>
  <c r="I46" i="1"/>
  <c r="K46" i="1"/>
  <c r="K65" i="1" s="1"/>
  <c r="G46" i="1"/>
  <c r="H46" i="1"/>
  <c r="J46" i="1"/>
  <c r="L46" i="1"/>
  <c r="L65" i="1" s="1"/>
  <c r="J97" i="1"/>
  <c r="L97" i="1"/>
  <c r="L116" i="1" s="1"/>
  <c r="P97" i="1"/>
  <c r="I97" i="1"/>
  <c r="H97" i="1"/>
  <c r="K97" i="1"/>
  <c r="G97" i="1"/>
  <c r="Q97" i="1"/>
  <c r="N97" i="1"/>
  <c r="N116" i="1" s="1"/>
  <c r="O97" i="1"/>
  <c r="G101" i="1"/>
  <c r="L101" i="1"/>
  <c r="L120" i="1" s="1"/>
  <c r="P101" i="1"/>
  <c r="I101" i="1"/>
  <c r="H101" i="1"/>
  <c r="K101" i="1"/>
  <c r="J101" i="1"/>
  <c r="O101" i="1"/>
  <c r="Q101" i="1"/>
  <c r="N101" i="1"/>
  <c r="N120" i="1" s="1"/>
  <c r="H47" i="1"/>
  <c r="I47" i="1"/>
  <c r="J47" i="1"/>
  <c r="K47" i="1"/>
  <c r="K66" i="1" s="1"/>
  <c r="L47" i="1"/>
  <c r="L66" i="1" s="1"/>
  <c r="G47" i="1"/>
  <c r="I98" i="1"/>
  <c r="K98" i="1"/>
  <c r="L98" i="1"/>
  <c r="L117" i="1" s="1"/>
  <c r="N98" i="1"/>
  <c r="N117" i="1" s="1"/>
  <c r="G98" i="1"/>
  <c r="H98" i="1"/>
  <c r="O98" i="1"/>
  <c r="Q98" i="1"/>
  <c r="J98" i="1"/>
  <c r="P98" i="1"/>
  <c r="H44" i="1"/>
  <c r="I44" i="1"/>
  <c r="J44" i="1"/>
  <c r="K44" i="1"/>
  <c r="K63" i="1" s="1"/>
  <c r="L44" i="1"/>
  <c r="L63" i="1" s="1"/>
  <c r="G44" i="1"/>
  <c r="G42" i="1"/>
  <c r="H42" i="1"/>
  <c r="J42" i="1"/>
  <c r="L42" i="1"/>
  <c r="L61" i="1" s="1"/>
  <c r="I42" i="1"/>
  <c r="K42" i="1"/>
  <c r="I100" i="1"/>
  <c r="Q100" i="1"/>
  <c r="J100" i="1"/>
  <c r="P100" i="1"/>
  <c r="L100" i="1"/>
  <c r="L119" i="1" s="1"/>
  <c r="H100" i="1"/>
  <c r="N100" i="1"/>
  <c r="N119" i="1" s="1"/>
  <c r="K100" i="1"/>
  <c r="G100" i="1"/>
  <c r="O100" i="1"/>
  <c r="I102" i="1"/>
  <c r="Q102" i="1"/>
  <c r="P102" i="1"/>
  <c r="O102" i="1"/>
  <c r="L102" i="1"/>
  <c r="L121" i="1" s="1"/>
  <c r="K102" i="1"/>
  <c r="J102" i="1"/>
  <c r="H102" i="1"/>
  <c r="G102" i="1"/>
  <c r="N102" i="1"/>
  <c r="N121" i="1" s="1"/>
  <c r="H104" i="1"/>
  <c r="I104" i="1"/>
  <c r="Q104" i="1"/>
  <c r="J104" i="1"/>
  <c r="P104" i="1"/>
  <c r="L104" i="1"/>
  <c r="L123" i="1" s="1"/>
  <c r="G104" i="1"/>
  <c r="N104" i="1"/>
  <c r="N123" i="1" s="1"/>
  <c r="O104" i="1"/>
  <c r="K104" i="1"/>
  <c r="G49" i="1"/>
  <c r="I49" i="1"/>
  <c r="K49" i="1"/>
  <c r="K68" i="1" s="1"/>
  <c r="H49" i="1"/>
  <c r="J49" i="1"/>
  <c r="L49" i="1"/>
  <c r="L68" i="1" s="1"/>
  <c r="G45" i="1"/>
  <c r="H45" i="1"/>
  <c r="J45" i="1"/>
  <c r="L45" i="1"/>
  <c r="L64" i="1" s="1"/>
  <c r="I45" i="1"/>
  <c r="K45" i="1"/>
  <c r="K64" i="1" s="1"/>
  <c r="O105" i="1"/>
  <c r="L105" i="1"/>
  <c r="L124" i="1" s="1"/>
  <c r="I105" i="1"/>
  <c r="N124" i="1"/>
  <c r="H105" i="1"/>
  <c r="P105" i="1"/>
  <c r="K105" i="1"/>
  <c r="J105" i="1"/>
  <c r="G105" i="1"/>
  <c r="Q105" i="1"/>
  <c r="I96" i="1"/>
  <c r="J96" i="1"/>
  <c r="P96" i="1"/>
  <c r="N96" i="1"/>
  <c r="N115" i="1" s="1"/>
  <c r="Q96" i="1"/>
  <c r="G96" i="1"/>
  <c r="L96" i="1"/>
  <c r="L115" i="1" s="1"/>
  <c r="O96" i="1"/>
  <c r="K96" i="1"/>
  <c r="H96" i="1"/>
  <c r="G50" i="1"/>
  <c r="H50" i="1"/>
  <c r="J50" i="1"/>
  <c r="L50" i="1"/>
  <c r="L69" i="1" s="1"/>
  <c r="I50" i="1"/>
  <c r="K50" i="1"/>
  <c r="K69" i="1" s="1"/>
  <c r="H43" i="1"/>
  <c r="I43" i="1"/>
  <c r="J43" i="1"/>
  <c r="K43" i="1"/>
  <c r="K62" i="1" s="1"/>
  <c r="L43" i="1"/>
  <c r="L62" i="1" s="1"/>
  <c r="G43" i="1"/>
  <c r="G41" i="1"/>
  <c r="I41" i="1"/>
  <c r="K41" i="1"/>
  <c r="K60" i="1" s="1"/>
  <c r="H41" i="1"/>
  <c r="J41" i="1"/>
  <c r="L41" i="1"/>
  <c r="L60" i="1" s="1"/>
  <c r="H40" i="1"/>
  <c r="I40" i="1"/>
  <c r="J40" i="1"/>
  <c r="K40" i="1"/>
  <c r="K59" i="1" s="1"/>
  <c r="L40" i="1"/>
  <c r="L59" i="1" s="1"/>
  <c r="G40" i="1"/>
  <c r="O99" i="1"/>
  <c r="H99" i="1"/>
  <c r="I99" i="1"/>
  <c r="J99" i="1"/>
  <c r="P99" i="1"/>
  <c r="Q99" i="1"/>
  <c r="G99" i="1"/>
  <c r="L99" i="1"/>
  <c r="L118" i="1" s="1"/>
  <c r="P95" i="1"/>
  <c r="L95" i="1"/>
  <c r="L114" i="1" s="1"/>
  <c r="N95" i="1"/>
  <c r="N114" i="1" s="1"/>
  <c r="H95" i="1"/>
  <c r="G95" i="1"/>
  <c r="O95" i="1"/>
  <c r="I95" i="1"/>
  <c r="K95" i="1"/>
  <c r="J95" i="1"/>
  <c r="Q95" i="1"/>
  <c r="O103" i="1"/>
  <c r="H103" i="1"/>
  <c r="P103" i="1"/>
  <c r="J103" i="1"/>
  <c r="K103" i="1"/>
  <c r="G103" i="1"/>
  <c r="Q103" i="1"/>
  <c r="N103" i="1"/>
  <c r="N122" i="1" s="1"/>
  <c r="L103" i="1"/>
  <c r="L122" i="1" s="1"/>
  <c r="I103" i="1"/>
  <c r="N44" i="1"/>
  <c r="N63" i="1" s="1"/>
  <c r="Q44" i="1"/>
  <c r="P44" i="1"/>
  <c r="P63" i="1" s="1"/>
  <c r="O44" i="1"/>
  <c r="O63" i="1" s="1"/>
  <c r="P42" i="1"/>
  <c r="P61" i="1" s="1"/>
  <c r="N42" i="1"/>
  <c r="N61" i="1" s="1"/>
  <c r="O42" i="1"/>
  <c r="O61" i="1" s="1"/>
  <c r="Q42" i="1"/>
  <c r="O40" i="1"/>
  <c r="O59" i="1" s="1"/>
  <c r="Q40" i="1"/>
  <c r="P40" i="1"/>
  <c r="P59" i="1" s="1"/>
  <c r="N40" i="1"/>
  <c r="N59" i="1" s="1"/>
  <c r="Q49" i="1"/>
  <c r="N49" i="1"/>
  <c r="N68" i="1" s="1"/>
  <c r="P49" i="1"/>
  <c r="P68" i="1" s="1"/>
  <c r="O49" i="1"/>
  <c r="O68" i="1" s="1"/>
  <c r="P48" i="1"/>
  <c r="P67" i="1" s="1"/>
  <c r="O48" i="1"/>
  <c r="O67" i="1" s="1"/>
  <c r="Q48" i="1"/>
  <c r="N48" i="1"/>
  <c r="N67" i="1" s="1"/>
  <c r="O46" i="1"/>
  <c r="O65" i="1" s="1"/>
  <c r="N46" i="1"/>
  <c r="N65" i="1" s="1"/>
  <c r="P46" i="1"/>
  <c r="P65" i="1" s="1"/>
  <c r="Q46" i="1"/>
  <c r="Q45" i="1"/>
  <c r="P45" i="1"/>
  <c r="P64" i="1" s="1"/>
  <c r="N45" i="1"/>
  <c r="N64" i="1" s="1"/>
  <c r="O45" i="1"/>
  <c r="O64" i="1" s="1"/>
  <c r="Q43" i="1"/>
  <c r="O43" i="1"/>
  <c r="O62" i="1" s="1"/>
  <c r="P43" i="1"/>
  <c r="P62" i="1" s="1"/>
  <c r="N43" i="1"/>
  <c r="N62" i="1" s="1"/>
  <c r="N41" i="1"/>
  <c r="N60" i="1" s="1"/>
  <c r="Q41" i="1"/>
  <c r="P41" i="1"/>
  <c r="P60" i="1" s="1"/>
  <c r="O41" i="1"/>
  <c r="O60" i="1" s="1"/>
  <c r="N50" i="1"/>
  <c r="N69" i="1" s="1"/>
  <c r="P50" i="1"/>
  <c r="P69" i="1" s="1"/>
  <c r="O50" i="1"/>
  <c r="O69" i="1" s="1"/>
  <c r="Q50" i="1"/>
  <c r="P47" i="1"/>
  <c r="P66" i="1" s="1"/>
  <c r="O47" i="1"/>
  <c r="O66" i="1" s="1"/>
  <c r="N47" i="1"/>
  <c r="N66" i="1" s="1"/>
  <c r="Q47" i="1"/>
  <c r="X39" i="1"/>
  <c r="O39" i="1" s="1"/>
  <c r="O58" i="1" s="1"/>
  <c r="N39" i="1" l="1"/>
  <c r="N58" i="1" s="1"/>
  <c r="L230" i="5"/>
  <c r="F230" i="5"/>
  <c r="G230" i="5" s="1"/>
  <c r="H230" i="5"/>
  <c r="L233" i="5"/>
  <c r="F233" i="5"/>
  <c r="G233" i="5" s="1"/>
  <c r="H233" i="5"/>
  <c r="F228" i="5"/>
  <c r="G228" i="5" s="1"/>
  <c r="L228" i="5"/>
  <c r="H228" i="5"/>
  <c r="L226" i="5"/>
  <c r="F226" i="5"/>
  <c r="G226" i="5" s="1"/>
  <c r="H226" i="5"/>
  <c r="F232" i="5"/>
  <c r="G232" i="5" s="1"/>
  <c r="L232" i="5"/>
  <c r="H232" i="5"/>
  <c r="L229" i="5"/>
  <c r="F229" i="5"/>
  <c r="G229" i="5" s="1"/>
  <c r="H229" i="5"/>
  <c r="L231" i="5"/>
  <c r="F231" i="5"/>
  <c r="G231" i="5" s="1"/>
  <c r="H231" i="5"/>
  <c r="L227" i="5"/>
  <c r="F227" i="5"/>
  <c r="G227" i="5" s="1"/>
  <c r="H227" i="5"/>
  <c r="L225" i="5"/>
  <c r="F225" i="5"/>
  <c r="G225" i="5" s="1"/>
  <c r="H225" i="5"/>
  <c r="L224" i="5"/>
  <c r="F224" i="5"/>
  <c r="G224" i="5" s="1"/>
  <c r="H224" i="5"/>
  <c r="L223" i="5"/>
  <c r="F223" i="5"/>
  <c r="G223" i="5" s="1"/>
  <c r="H223" i="5"/>
  <c r="J39" i="1"/>
  <c r="G39" i="1"/>
  <c r="H39" i="1"/>
  <c r="K39" i="1"/>
  <c r="K58" i="1" s="1"/>
  <c r="I39" i="1"/>
  <c r="L39" i="1"/>
  <c r="L58" i="1" s="1"/>
  <c r="Q39" i="1"/>
  <c r="P39" i="1"/>
  <c r="P58" i="1" s="1"/>
  <c r="M231" i="5" l="1"/>
  <c r="N231" i="5" s="1"/>
  <c r="T231" i="1" s="1"/>
  <c r="O231" i="5"/>
  <c r="M227" i="5"/>
  <c r="N227" i="5" s="1"/>
  <c r="T227" i="1" s="1"/>
  <c r="Y227" i="1" s="1"/>
  <c r="O227" i="5"/>
  <c r="M232" i="5"/>
  <c r="N232" i="5" s="1"/>
  <c r="T232" i="1" s="1"/>
  <c r="O232" i="5"/>
  <c r="M226" i="5"/>
  <c r="N226" i="5" s="1"/>
  <c r="T226" i="1" s="1"/>
  <c r="O226" i="5"/>
  <c r="M229" i="5"/>
  <c r="N229" i="5" s="1"/>
  <c r="T229" i="1" s="1"/>
  <c r="O229" i="5"/>
  <c r="M228" i="5"/>
  <c r="N228" i="5" s="1"/>
  <c r="T228" i="1" s="1"/>
  <c r="O228" i="5"/>
  <c r="M233" i="5"/>
  <c r="N233" i="5" s="1"/>
  <c r="T233" i="1" s="1"/>
  <c r="O233" i="5"/>
  <c r="M225" i="5"/>
  <c r="N225" i="5" s="1"/>
  <c r="T225" i="1" s="1"/>
  <c r="O225" i="5"/>
  <c r="M230" i="5"/>
  <c r="N230" i="5" s="1"/>
  <c r="T230" i="1" s="1"/>
  <c r="O230" i="5"/>
  <c r="O224" i="5"/>
  <c r="M224" i="5"/>
  <c r="N224" i="5" s="1"/>
  <c r="T224" i="1" s="1"/>
  <c r="O223" i="5"/>
  <c r="M223" i="5"/>
  <c r="N223" i="5" s="1"/>
  <c r="T223" i="1" s="1"/>
  <c r="Y226" i="1" l="1"/>
  <c r="Y223" i="1"/>
  <c r="Y225" i="1"/>
  <c r="Y224" i="1"/>
  <c r="T199" i="8"/>
  <c r="T93" i="8"/>
  <c r="T146" i="8"/>
  <c r="T204" i="8"/>
  <c r="T151" i="8"/>
  <c r="T98" i="8"/>
  <c r="T91" i="8"/>
  <c r="T144" i="8"/>
  <c r="T197" i="8"/>
  <c r="T145" i="8"/>
  <c r="T198" i="8"/>
  <c r="T92" i="8"/>
  <c r="T94" i="8"/>
  <c r="T147" i="8"/>
  <c r="T200" i="8"/>
  <c r="T88" i="8"/>
  <c r="T141" i="8"/>
  <c r="T194" i="8"/>
  <c r="T142" i="8"/>
  <c r="T195" i="8"/>
  <c r="T89" i="8"/>
  <c r="T90" i="8"/>
  <c r="T196" i="8"/>
  <c r="T143" i="8"/>
  <c r="T203" i="8"/>
  <c r="S184" i="8" s="1"/>
  <c r="T150" i="8"/>
  <c r="T97" i="8"/>
  <c r="T201" i="8"/>
  <c r="S182" i="8" s="1"/>
  <c r="T148" i="8"/>
  <c r="T95" i="8"/>
  <c r="T202" i="8"/>
  <c r="S183" i="8" s="1"/>
  <c r="T149" i="8"/>
  <c r="T96" i="8"/>
  <c r="Y169" i="1"/>
  <c r="Y170" i="1"/>
  <c r="Y171" i="1"/>
  <c r="Y172" i="1"/>
  <c r="Y173" i="1"/>
  <c r="U148" i="8" l="1"/>
  <c r="U147" i="8"/>
  <c r="U197" i="8"/>
  <c r="S178" i="8"/>
  <c r="Y197" i="8"/>
  <c r="U144" i="8"/>
  <c r="Y144" i="8"/>
  <c r="U196" i="8"/>
  <c r="S177" i="8"/>
  <c r="Y196" i="8"/>
  <c r="S179" i="8"/>
  <c r="U198" i="8"/>
  <c r="U143" i="8"/>
  <c r="Y143" i="8"/>
  <c r="S176" i="8"/>
  <c r="U195" i="8"/>
  <c r="Y195" i="8"/>
  <c r="U201" i="8"/>
  <c r="S181" i="8"/>
  <c r="U200" i="8"/>
  <c r="U142" i="8"/>
  <c r="Y142" i="8"/>
  <c r="U146" i="8"/>
  <c r="U145" i="8"/>
  <c r="Y145" i="8"/>
  <c r="U194" i="8"/>
  <c r="S175" i="8"/>
  <c r="Y194" i="8"/>
  <c r="Y141" i="8"/>
  <c r="U141" i="8"/>
  <c r="U199" i="8"/>
  <c r="S180" i="8"/>
</calcChain>
</file>

<file path=xl/sharedStrings.xml><?xml version="1.0" encoding="utf-8"?>
<sst xmlns="http://schemas.openxmlformats.org/spreadsheetml/2006/main" count="1702" uniqueCount="259">
  <si>
    <t xml:space="preserve"> 10-5-19</t>
  </si>
  <si>
    <t xml:space="preserve"> Springtown TORN XC</t>
  </si>
  <si>
    <t xml:space="preserve"> Kevin Beavers test rider</t>
  </si>
  <si>
    <t xml:space="preserve"> dp (3253)f  </t>
  </si>
  <si>
    <t xml:space="preserve"> dp (3509)f  </t>
  </si>
  <si>
    <t xml:space="preserve"> 4CS forks</t>
  </si>
  <si>
    <t xml:space="preserve"> Showa convers forks</t>
  </si>
  <si>
    <t xml:space="preserve"> Addy AER spr conver forks</t>
  </si>
  <si>
    <t>Comparing r-zeta and riderfeedback on these three forks we have concluded we may need faster reb at 1-10ips.</t>
  </si>
  <si>
    <t>ips</t>
  </si>
  <si>
    <t>r-zeta</t>
  </si>
  <si>
    <t>start</t>
  </si>
  <si>
    <t>end</t>
  </si>
  <si>
    <t>single step</t>
  </si>
  <si>
    <t xml:space="preserve"> 5 step</t>
  </si>
  <si>
    <t xml:space="preserve"> 10 step</t>
  </si>
  <si>
    <t xml:space="preserve"> The new rzeta is linear. </t>
  </si>
  <si>
    <t xml:space="preserve">    HOWEVER, 11-15-19 as per conversation with Calvin, we want r-zeta to be a curve with: </t>
  </si>
  <si>
    <t xml:space="preserve">      --  and at 70ips .72</t>
  </si>
  <si>
    <t xml:space="preserve">      -- r-zeta apx .50 at 1-5ips</t>
  </si>
  <si>
    <t xml:space="preserve">      --  then at 20ips pick up to .65-.70</t>
  </si>
  <si>
    <t xml:space="preserve"> dp (3531)f  </t>
  </si>
  <si>
    <t xml:space="preserve"> 11-15-19, as per conversation with Calvin.</t>
  </si>
  <si>
    <t xml:space="preserve"> r/c ratio should be:</t>
  </si>
  <si>
    <t xml:space="preserve"> 0-6ips = .80</t>
  </si>
  <si>
    <t xml:space="preserve"> 40-70ips = 3.5</t>
  </si>
  <si>
    <t xml:space="preserve"> 20-30ips = 3.0 - 3.5</t>
  </si>
  <si>
    <t xml:space="preserve">  --&gt; or something like that</t>
  </si>
  <si>
    <t xml:space="preserve">  --&gt; REMEMBER to take into account fork seal drag forces</t>
  </si>
  <si>
    <t xml:space="preserve">  --&gt;  i.e.  r-zeta should be .70 WITH outer tube seal drag force</t>
  </si>
  <si>
    <t xml:space="preserve"> Going by memory, find actual data later.</t>
  </si>
  <si>
    <t xml:space="preserve">  outer tube drag force</t>
  </si>
  <si>
    <t xml:space="preserve">  ctg tube drag force</t>
  </si>
  <si>
    <t xml:space="preserve">  total drag force for one DFF fork leg</t>
  </si>
  <si>
    <t xml:space="preserve"> (3531)f</t>
  </si>
  <si>
    <t>First we will look at r-zeta curve for  3531f showa convers fork</t>
  </si>
  <si>
    <t>[actual]</t>
  </si>
  <si>
    <t>adjusted</t>
  </si>
  <si>
    <t xml:space="preserve">factor </t>
  </si>
  <si>
    <t xml:space="preserve">  [exact]</t>
  </si>
  <si>
    <t xml:space="preserve"> .44 -.70</t>
  </si>
  <si>
    <t xml:space="preserve"> .70 - .70</t>
  </si>
  <si>
    <t xml:space="preserve">  [rnd</t>
  </si>
  <si>
    <t xml:space="preserve"> linear   -----------------&gt;</t>
  </si>
  <si>
    <t>poly 2</t>
  </si>
  <si>
    <t xml:space="preserve"> zeta_fkr_50-70.xlsx</t>
  </si>
  <si>
    <t xml:space="preserve"> 11-15-19</t>
  </si>
  <si>
    <t xml:space="preserve"> Try adding fork tube seal drag to see how it affects r-zeta and r/c ratio.</t>
  </si>
  <si>
    <t xml:space="preserve"> co wogas</t>
  </si>
  <si>
    <t xml:space="preserve"> ro wogas</t>
  </si>
  <si>
    <t xml:space="preserve"> r/c ratio</t>
  </si>
  <si>
    <t>plus drag</t>
  </si>
  <si>
    <t>target</t>
  </si>
  <si>
    <t xml:space="preserve">  mWheel</t>
  </si>
  <si>
    <t xml:space="preserve">  kspring</t>
  </si>
  <si>
    <t xml:space="preserve">  levratio</t>
  </si>
  <si>
    <t xml:space="preserve"> rdamp</t>
  </si>
  <si>
    <t>coeff</t>
  </si>
  <si>
    <t xml:space="preserve"> .12-.70</t>
  </si>
  <si>
    <t xml:space="preserve"> .17-.70</t>
  </si>
  <si>
    <t xml:space="preserve"> .23-.70</t>
  </si>
  <si>
    <t xml:space="preserve"> .28-.70</t>
  </si>
  <si>
    <t xml:space="preserve"> .33-.70</t>
  </si>
  <si>
    <t xml:space="preserve"> .38-.70</t>
  </si>
  <si>
    <t xml:space="preserve"> .49 -.70</t>
  </si>
  <si>
    <t xml:space="preserve"> .54 -.70</t>
  </si>
  <si>
    <t xml:space="preserve"> .59 -.70</t>
  </si>
  <si>
    <t xml:space="preserve"> .65 -.70</t>
  </si>
  <si>
    <t xml:space="preserve"> 11-15-19   new curve_rzeta_targetnu</t>
  </si>
  <si>
    <t xml:space="preserve">  r-zeta target</t>
  </si>
  <si>
    <t xml:space="preserve"> .44-.70</t>
  </si>
  <si>
    <t>these reb numbers were already created by .44-.70</t>
  </si>
  <si>
    <t xml:space="preserve"> we just made these curves up so it looks good on graph</t>
  </si>
  <si>
    <t xml:space="preserve"> 3-9-20</t>
  </si>
  <si>
    <t xml:space="preserve"> We are adding 2.5 lbs stanchion tube drag to the dyno reb numbers.  </t>
  </si>
  <si>
    <t xml:space="preserve"> Recalculate r-zeta below based on this</t>
  </si>
  <si>
    <t xml:space="preserve"> adjust for making r-zeta .65 at 70ips --&gt; </t>
  </si>
  <si>
    <t xml:space="preserve"> .65 / .70 = </t>
  </si>
  <si>
    <t xml:space="preserve"> now we have to come up with reb numbers base on these r-zeta curves</t>
  </si>
  <si>
    <t>Inputs</t>
  </si>
  <si>
    <t>Target zeta</t>
  </si>
  <si>
    <t>Calculate damping coeff for target zeta</t>
  </si>
  <si>
    <t>LR.foale</t>
  </si>
  <si>
    <t>[-]</t>
  </si>
  <si>
    <t>zeta=</t>
  </si>
  <si>
    <t>k.spring</t>
  </si>
  <si>
    <t>c.damp</t>
  </si>
  <si>
    <t>K.spring</t>
  </si>
  <si>
    <t>[kg/mm]</t>
  </si>
  <si>
    <t>[lbf/ft]</t>
  </si>
  <si>
    <t>[lbf-s/in]</t>
  </si>
  <si>
    <t>M.wheel</t>
  </si>
  <si>
    <t>[lbm]</t>
  </si>
  <si>
    <t>c.damp x ips</t>
  </si>
  <si>
    <t xml:space="preserve"> .28 - .70</t>
  </si>
  <si>
    <t xml:space="preserve"> .34 - .70</t>
  </si>
  <si>
    <t xml:space="preserve"> .40 - .70</t>
  </si>
  <si>
    <t xml:space="preserve"> .46 - .70</t>
  </si>
  <si>
    <t xml:space="preserve"> .52 - .70</t>
  </si>
  <si>
    <t xml:space="preserve"> 3-9-20 CONCLUSION: we came up with a couple curves to use with stanchion drag and put in vdb</t>
  </si>
  <si>
    <t xml:space="preserve">   We are not going to try to put comments on everything to understand later what we did, just hope we didn't screw up</t>
  </si>
  <si>
    <t xml:space="preserve"> 3-9-20  new curve_rzeta_targetnu</t>
  </si>
  <si>
    <t xml:space="preserve"> Do another for r-zeta .65 at 70ips</t>
  </si>
  <si>
    <t xml:space="preserve"> target</t>
  </si>
  <si>
    <t xml:space="preserve"> .36-.65</t>
  </si>
  <si>
    <t xml:space="preserve"> .30-.65</t>
  </si>
  <si>
    <t xml:space="preserve"> .41-.65</t>
  </si>
  <si>
    <t xml:space="preserve"> .47-.65</t>
  </si>
  <si>
    <t xml:space="preserve"> Do another for r-zeta .60 at 70ips, keep same at 1-5ips where it is above .70</t>
  </si>
  <si>
    <t xml:space="preserve"> .70</t>
  </si>
  <si>
    <t xml:space="preserve"> .60 / .65 = </t>
  </si>
  <si>
    <t xml:space="preserve"> hypothetical curve rounded</t>
  </si>
  <si>
    <t xml:space="preserve">  % over</t>
  </si>
  <si>
    <t>act .65</t>
  </si>
  <si>
    <t xml:space="preserve"> .30-.60</t>
  </si>
  <si>
    <t xml:space="preserve"> .40-.60</t>
  </si>
  <si>
    <t xml:space="preserve"> .45-.60</t>
  </si>
  <si>
    <t xml:space="preserve"> .35-.60</t>
  </si>
  <si>
    <t xml:space="preserve">   --&gt; these are linear and we call the straight in vdb   i.e.  .30-.60s</t>
  </si>
  <si>
    <t xml:space="preserve"> 2.5 chrtd curve</t>
  </si>
  <si>
    <t xml:space="preserve"> .60</t>
  </si>
  <si>
    <t xml:space="preserve"> With 2.5 chrtd zeta linear 20-70ips</t>
  </si>
  <si>
    <t xml:space="preserve"> This copy is before making changes, can probably be deleted</t>
  </si>
  <si>
    <t xml:space="preserve"> r-zeta is not linear from 1-10ips, it starts closer to 1 at 1ips and moves toward 2nd zeta target number at 10ips</t>
  </si>
  <si>
    <t xml:space="preserve"> With 2.5 chrtd, zeta is mostly linear at 20-70ips</t>
  </si>
  <si>
    <t xml:space="preserve"> .65</t>
  </si>
  <si>
    <t xml:space="preserve">   --&gt; these are linear and we call the straight in vdb because we didn't want to append the letter 'l'     i.e.  .30-.60s</t>
  </si>
  <si>
    <t xml:space="preserve"> old</t>
  </si>
  <si>
    <t xml:space="preserve"> This has extra stuff that we deleted from main tab, e.g.  Line 187</t>
  </si>
  <si>
    <t xml:space="preserve"> This is used to create poly 2 that is used to the left</t>
  </si>
  <si>
    <t xml:space="preserve"> 5-22-22</t>
  </si>
  <si>
    <t xml:space="preserve"> The tabs  curve_rzeta_targetnu  AND  curve_rzeta_targetnu_add_drag go together</t>
  </si>
  <si>
    <t xml:space="preserve"> Cells are referenced back and forth.</t>
  </si>
  <si>
    <t xml:space="preserve"> r-zeta for .96 kg spr</t>
  </si>
  <si>
    <t xml:space="preserve"> target rebound numbers</t>
  </si>
  <si>
    <t>This is the spring used for r-zeta numbers</t>
  </si>
  <si>
    <t>Not sure what this is, ignore</t>
  </si>
  <si>
    <t xml:space="preserve"> This r-zeta matches vdb</t>
  </si>
  <si>
    <t xml:space="preserve"> end</t>
  </si>
  <si>
    <t xml:space="preserve"> This is a generic set of formulas NOT connected to another tab</t>
  </si>
  <si>
    <t xml:space="preserve"> made copy just in case we screw up original;</t>
  </si>
  <si>
    <t xml:space="preserve"> keep scrolling down</t>
  </si>
  <si>
    <t>these reb numbers were already created by .36-.65</t>
  </si>
  <si>
    <t>See apx line 111 for spr info</t>
  </si>
  <si>
    <t xml:space="preserve"> .44-70</t>
  </si>
  <si>
    <t xml:space="preserve"> With 0 ctrtd, r-zeta is actually the .44-.70 as shown in column M</t>
  </si>
  <si>
    <t xml:space="preserve"> With 2.5 ctrtd, r-zeta becomes T56</t>
  </si>
  <si>
    <t xml:space="preserve"> .34 - .70s</t>
  </si>
  <si>
    <t xml:space="preserve"> .40 - .70s</t>
  </si>
  <si>
    <t xml:space="preserve"> .46 - .70s</t>
  </si>
  <si>
    <t xml:space="preserve"> .52 - .70s</t>
  </si>
  <si>
    <t xml:space="preserve"> .30-.65s</t>
  </si>
  <si>
    <t xml:space="preserve"> .36-.65s</t>
  </si>
  <si>
    <t xml:space="preserve"> .41-.65s</t>
  </si>
  <si>
    <t xml:space="preserve">   --&gt; these are linear, but  we call it straight in vdb because we didn't want to append the letter 'l'     i.e.  .30-.60s</t>
  </si>
  <si>
    <t xml:space="preserve"> WE DON'T NEED THIS, IT'S BASICALLY THE SAME  .40 - .70s</t>
  </si>
  <si>
    <t xml:space="preserve"> --&gt; We will remove from vdb</t>
  </si>
  <si>
    <t xml:space="preserve"> .40-.70</t>
  </si>
  <si>
    <t>these reb numbers were already created by .40-.70</t>
  </si>
  <si>
    <t xml:space="preserve"> 5-23-22</t>
  </si>
  <si>
    <t xml:space="preserve">  We added .55</t>
  </si>
  <si>
    <t xml:space="preserve"> .55</t>
  </si>
  <si>
    <t xml:space="preserve"> adjust for making r-zeta .55 at 70ips --&gt; </t>
  </si>
  <si>
    <t xml:space="preserve"> .33-.60s</t>
  </si>
  <si>
    <t xml:space="preserve"> .38-.60s</t>
  </si>
  <si>
    <t xml:space="preserve"> .48-.65s</t>
  </si>
  <si>
    <t xml:space="preserve"> .34-.55s</t>
  </si>
  <si>
    <t xml:space="preserve"> .39-.55s</t>
  </si>
  <si>
    <t xml:space="preserve"> .33-.60</t>
  </si>
  <si>
    <t>these reb numbers were already created by .33-.60</t>
  </si>
  <si>
    <t xml:space="preserve"> .29-.55</t>
  </si>
  <si>
    <t>these reb numbers were already created by .29-.55</t>
  </si>
  <si>
    <t xml:space="preserve"> .60 / .70 = </t>
  </si>
  <si>
    <t xml:space="preserve"> .55/.70</t>
  </si>
  <si>
    <t xml:space="preserve"> .43-.60s</t>
  </si>
  <si>
    <t xml:space="preserve"> .48-60s</t>
  </si>
  <si>
    <t xml:space="preserve"> .44-.55s</t>
  </si>
  <si>
    <t xml:space="preserve"> .49-.55s</t>
  </si>
  <si>
    <t xml:space="preserve">  We added .50</t>
  </si>
  <si>
    <t xml:space="preserve"> .50</t>
  </si>
  <si>
    <t>enf</t>
  </si>
  <si>
    <t xml:space="preserve"> .50/.70</t>
  </si>
  <si>
    <t xml:space="preserve"> .40-.50s</t>
  </si>
  <si>
    <t xml:space="preserve"> .44-.50s</t>
  </si>
  <si>
    <t xml:space="preserve"> 49-.50s</t>
  </si>
  <si>
    <t xml:space="preserve"> .35-.50s</t>
  </si>
  <si>
    <t xml:space="preserve"> 5-4-24  We added .50 ans .55 r-zeta and updated curves.</t>
  </si>
  <si>
    <t xml:space="preserve"> We considered create new r-zeta for 9.5 bush drag, but we can use what we have and make it work.</t>
  </si>
  <si>
    <t xml:space="preserve"> -.70</t>
  </si>
  <si>
    <t xml:space="preserve"> .52-.70s</t>
  </si>
  <si>
    <t xml:space="preserve"> .46-.70s</t>
  </si>
  <si>
    <t xml:space="preserve"> .40-.70s</t>
  </si>
  <si>
    <t xml:space="preserve"> .34-.70s</t>
  </si>
  <si>
    <t xml:space="preserve"> .28-.70s</t>
  </si>
  <si>
    <t xml:space="preserve"> 28/52</t>
  </si>
  <si>
    <t xml:space="preserve"> reb</t>
  </si>
  <si>
    <t xml:space="preserve"> zeta</t>
  </si>
  <si>
    <t xml:space="preserve"> -.65</t>
  </si>
  <si>
    <t xml:space="preserve"> .39-.65s</t>
  </si>
  <si>
    <t xml:space="preserve"> 30/48</t>
  </si>
  <si>
    <t xml:space="preserve"> -.60</t>
  </si>
  <si>
    <t xml:space="preserve"> .48-.60s</t>
  </si>
  <si>
    <t xml:space="preserve"> .33/.48</t>
  </si>
  <si>
    <t xml:space="preserve"> -.55</t>
  </si>
  <si>
    <t xml:space="preserve"> 34/49</t>
  </si>
  <si>
    <t xml:space="preserve"> -.50</t>
  </si>
  <si>
    <t xml:space="preserve"> .49-.50s</t>
  </si>
  <si>
    <t xml:space="preserve"> 35/49</t>
  </si>
  <si>
    <t xml:space="preserve"> Once drag is added zeta values at 10ips go up.</t>
  </si>
  <si>
    <t xml:space="preserve"> The original .70 zeta target was designed for 0 chrtd.</t>
  </si>
  <si>
    <t xml:space="preserve">   Use lower target number for increased chrtd.</t>
  </si>
  <si>
    <t xml:space="preserve"> Compare original and new r-zeta targets.</t>
  </si>
  <si>
    <t xml:space="preserve">   .96 kg spr with 2.5 chrtd</t>
  </si>
  <si>
    <t xml:space="preserve"> The new .46-70s target accounts for 2.5 chrtd.</t>
  </si>
  <si>
    <t xml:space="preserve"> The new .28-70s target accounts for 5.0 chrtd.</t>
  </si>
  <si>
    <t xml:space="preserve"> R-ZETA TARGETS</t>
  </si>
  <si>
    <t xml:space="preserve"> + 2.5</t>
  </si>
  <si>
    <t xml:space="preserve">  Minimum reb force at 3 - 10 - 40 - 70 ips</t>
  </si>
  <si>
    <t xml:space="preserve"> 3ips = </t>
  </si>
  <si>
    <t xml:space="preserve"> 10ips = </t>
  </si>
  <si>
    <t xml:space="preserve"> 40ips = </t>
  </si>
  <si>
    <t xml:space="preserve"> 70ips = </t>
  </si>
  <si>
    <t xml:space="preserve"> r-zeta targ  .44-55s</t>
  </si>
  <si>
    <t xml:space="preserve"> +2.5</t>
  </si>
  <si>
    <t xml:space="preserve"> +5.0</t>
  </si>
  <si>
    <t xml:space="preserve"> r-zeta targ  .34-55s</t>
  </si>
  <si>
    <t>x .92</t>
  </si>
  <si>
    <t xml:space="preserve"> 34/52</t>
  </si>
  <si>
    <t xml:space="preserve"> r-zeta targ </t>
  </si>
  <si>
    <t xml:space="preserve"> +5.0 drag</t>
  </si>
  <si>
    <t xml:space="preserve"> baseline +2.5 drag</t>
  </si>
  <si>
    <t>reb up at 10ips</t>
  </si>
  <si>
    <t>compensate with</t>
  </si>
  <si>
    <t>lighter target</t>
  </si>
  <si>
    <t>reb still high at 10ips</t>
  </si>
  <si>
    <t>reb factor  x .92</t>
  </si>
  <si>
    <t>reb same at 10ips</t>
  </si>
  <si>
    <t xml:space="preserve"> .48-65s</t>
  </si>
  <si>
    <t xml:space="preserve"> .30-65s</t>
  </si>
  <si>
    <t xml:space="preserve"> zeta drops .04 at 70ips</t>
  </si>
  <si>
    <t xml:space="preserve"> zeta drops .03 at 70ips</t>
  </si>
  <si>
    <t xml:space="preserve">  Rebound force at 3 - 10 - 40 - 70 ips</t>
  </si>
  <si>
    <t>mm</t>
  </si>
  <si>
    <t xml:space="preserve"> +0</t>
  </si>
  <si>
    <t>WE COPIED COLUMNS M THRU Y TO VDB</t>
  </si>
  <si>
    <t xml:space="preserve"> openLevRatioFk__change_press_a_reb_targ.php</t>
  </si>
  <si>
    <t xml:space="preserve"> quickLookFk_dynofork_rebound.php</t>
  </si>
  <si>
    <t xml:space="preserve"> 2-1-24</t>
  </si>
  <si>
    <t xml:space="preserve"> We were looking for r-zeta that dips in the middle, or dips at 20-30ips.</t>
  </si>
  <si>
    <t xml:space="preserve"> We had something in vdb, but it was old liner .50-.70, for example, that happened to dip when 2.5 chrome tube drag is added.</t>
  </si>
  <si>
    <t xml:space="preserve"> But that's no good as it dipped at 10ips AND, we don't use the 2.5 chrtd anymore for analysis</t>
  </si>
  <si>
    <t xml:space="preserve"> So we copied this from  curve_rzeta_target_nu_2.5 and will do a will quickly create new r-zezeta number to enter in database table  zetakf_targetnu </t>
  </si>
  <si>
    <t xml:space="preserve"> dips in middle</t>
  </si>
  <si>
    <t xml:space="preserve"> .50-.70</t>
  </si>
  <si>
    <t xml:space="preserve"> .55-.70</t>
  </si>
  <si>
    <t xml:space="preserve"> .60-.70</t>
  </si>
  <si>
    <t xml:space="preserve"> 2-1-24  we are adding r-zeta that dips at 20-30ips</t>
  </si>
  <si>
    <t xml:space="preserve">  all comments related to this have this red font color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</si>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</sst>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000"/>
    <numFmt numFmtId="166" formatCode="0.000000"/>
    <numFmt numFmtId="167" formatCode="0.0"/>
    <numFmt numFmtId="168" formatCode="0.00000"/>
    <numFmt numFmtId="169" formatCode="0.0%"/>
  </numFmts>
  <fonts count="34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7"/>
      <name val="Arial"/>
      <family val="2"/>
    </font>
    <font>
      <sz val="8"/>
      <color indexed="17"/>
      <name val="Arial"/>
      <family val="2"/>
    </font>
    <font>
      <sz val="11"/>
      <color theme="5" tint="-0.249977111117893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1" tint="0.34998626667073579"/>
      <name val="Trebuchet MS"/>
      <family val="2"/>
    </font>
    <font>
      <sz val="11"/>
      <color theme="1" tint="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sz val="11"/>
      <color theme="2" tint="-0.74999237037263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F7C5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right"/>
    </xf>
    <xf numFmtId="2" fontId="1" fillId="0" borderId="0" xfId="0" applyNumberFormat="1" applyFont="1" applyAlignment="1">
      <alignment horizontal="center"/>
    </xf>
    <xf numFmtId="164" fontId="0" fillId="2" borderId="0" xfId="0" applyNumberFormat="1" applyFill="1" applyAlignment="1">
      <alignment horizontal="center"/>
    </xf>
    <xf numFmtId="165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4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left"/>
    </xf>
    <xf numFmtId="165" fontId="3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6" fillId="0" borderId="0" xfId="0" applyFont="1"/>
    <xf numFmtId="0" fontId="0" fillId="0" borderId="2" xfId="0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6" borderId="4" xfId="0" applyFill="1" applyBorder="1"/>
    <xf numFmtId="0" fontId="0" fillId="6" borderId="0" xfId="0" applyFill="1" applyAlignment="1">
      <alignment horizontal="center"/>
    </xf>
    <xf numFmtId="0" fontId="0" fillId="0" borderId="5" xfId="0" applyBorder="1" applyAlignment="1">
      <alignment horizontal="left"/>
    </xf>
    <xf numFmtId="0" fontId="1" fillId="0" borderId="0" xfId="0" applyFont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quotePrefix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4" xfId="0" applyBorder="1" applyAlignment="1">
      <alignment horizontal="center"/>
    </xf>
    <xf numFmtId="0" fontId="9" fillId="0" borderId="0" xfId="0" quotePrefix="1" applyFont="1" applyAlignment="1">
      <alignment horizontal="center"/>
    </xf>
    <xf numFmtId="0" fontId="9" fillId="0" borderId="5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0" xfId="0" quotePrefix="1" applyFont="1" applyAlignment="1">
      <alignment horizontal="left"/>
    </xf>
    <xf numFmtId="164" fontId="12" fillId="0" borderId="0" xfId="0" applyNumberFormat="1" applyFont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5" fontId="0" fillId="3" borderId="7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7" fillId="0" borderId="2" xfId="0" applyFont="1" applyBorder="1"/>
    <xf numFmtId="0" fontId="1" fillId="2" borderId="0" xfId="0" applyFont="1" applyFill="1" applyAlignment="1">
      <alignment horizontal="center"/>
    </xf>
    <xf numFmtId="167" fontId="13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167" fontId="2" fillId="4" borderId="0" xfId="0" applyNumberFormat="1" applyFont="1" applyFill="1" applyAlignment="1">
      <alignment horizontal="center"/>
    </xf>
    <xf numFmtId="2" fontId="14" fillId="4" borderId="0" xfId="0" applyNumberFormat="1" applyFont="1" applyFill="1" applyAlignment="1">
      <alignment horizontal="center" vertical="center" wrapText="1"/>
    </xf>
    <xf numFmtId="167" fontId="13" fillId="4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7" fontId="2" fillId="3" borderId="0" xfId="0" applyNumberFormat="1" applyFont="1" applyFill="1" applyAlignment="1">
      <alignment horizontal="center"/>
    </xf>
    <xf numFmtId="2" fontId="14" fillId="3" borderId="0" xfId="0" applyNumberFormat="1" applyFont="1" applyFill="1" applyAlignment="1">
      <alignment horizontal="center" vertical="center" wrapText="1"/>
    </xf>
    <xf numFmtId="167" fontId="13" fillId="3" borderId="0" xfId="0" applyNumberFormat="1" applyFont="1" applyFill="1" applyAlignment="1">
      <alignment horizontal="center"/>
    </xf>
    <xf numFmtId="0" fontId="1" fillId="0" borderId="0" xfId="0" applyFont="1"/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quotePrefix="1" applyAlignment="1">
      <alignment horizontal="center"/>
    </xf>
    <xf numFmtId="0" fontId="8" fillId="0" borderId="0" xfId="0" quotePrefix="1" applyFont="1" applyAlignment="1">
      <alignment horizontal="center"/>
    </xf>
    <xf numFmtId="0" fontId="1" fillId="3" borderId="7" xfId="0" applyFont="1" applyFill="1" applyBorder="1" applyAlignment="1">
      <alignment horizontal="center"/>
    </xf>
    <xf numFmtId="165" fontId="0" fillId="4" borderId="5" xfId="0" applyNumberForma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right"/>
    </xf>
    <xf numFmtId="0" fontId="0" fillId="0" borderId="9" xfId="0" applyBorder="1"/>
    <xf numFmtId="0" fontId="0" fillId="0" borderId="10" xfId="0" quotePrefix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1" fillId="0" borderId="0" xfId="0" quotePrefix="1" applyNumberFormat="1" applyFont="1" applyAlignment="1">
      <alignment horizontal="center"/>
    </xf>
    <xf numFmtId="2" fontId="0" fillId="0" borderId="0" xfId="0" quotePrefix="1" applyNumberFormat="1" applyAlignment="1">
      <alignment horizontal="center"/>
    </xf>
    <xf numFmtId="0" fontId="0" fillId="2" borderId="0" xfId="0" quotePrefix="1" applyFill="1" applyAlignment="1">
      <alignment horizontal="center"/>
    </xf>
    <xf numFmtId="0" fontId="7" fillId="2" borderId="0" xfId="0" quotePrefix="1" applyFont="1" applyFill="1" applyAlignment="1">
      <alignment horizontal="center"/>
    </xf>
    <xf numFmtId="0" fontId="8" fillId="2" borderId="0" xfId="0" quotePrefix="1" applyFont="1" applyFill="1" applyAlignment="1">
      <alignment horizontal="center"/>
    </xf>
    <xf numFmtId="0" fontId="10" fillId="0" borderId="0" xfId="0" applyFont="1" applyAlignment="1">
      <alignment horizontal="center"/>
    </xf>
    <xf numFmtId="166" fontId="11" fillId="0" borderId="0" xfId="0" applyNumberFormat="1" applyFont="1" applyAlignment="1">
      <alignment horizontal="center"/>
    </xf>
    <xf numFmtId="166" fontId="11" fillId="0" borderId="13" xfId="0" applyNumberFormat="1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0" fillId="0" borderId="16" xfId="0" applyBorder="1"/>
    <xf numFmtId="0" fontId="17" fillId="7" borderId="17" xfId="0" applyFont="1" applyFill="1" applyBorder="1"/>
    <xf numFmtId="0" fontId="17" fillId="7" borderId="18" xfId="0" applyFont="1" applyFill="1" applyBorder="1"/>
    <xf numFmtId="0" fontId="0" fillId="7" borderId="19" xfId="0" applyFill="1" applyBorder="1"/>
    <xf numFmtId="0" fontId="17" fillId="5" borderId="18" xfId="0" applyFont="1" applyFill="1" applyBorder="1"/>
    <xf numFmtId="0" fontId="0" fillId="5" borderId="20" xfId="0" applyFill="1" applyBorder="1"/>
    <xf numFmtId="0" fontId="0" fillId="5" borderId="19" xfId="0" applyFill="1" applyBorder="1"/>
    <xf numFmtId="0" fontId="17" fillId="0" borderId="4" xfId="0" applyFont="1" applyBorder="1"/>
    <xf numFmtId="0" fontId="18" fillId="0" borderId="0" xfId="0" applyFont="1"/>
    <xf numFmtId="0" fontId="17" fillId="0" borderId="6" xfId="0" applyFont="1" applyBorder="1"/>
    <xf numFmtId="0" fontId="0" fillId="0" borderId="8" xfId="0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7" xfId="0" applyFont="1" applyBorder="1"/>
    <xf numFmtId="167" fontId="0" fillId="0" borderId="6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7" xfId="0" quotePrefix="1" applyBorder="1" applyAlignment="1">
      <alignment horizontal="left"/>
    </xf>
    <xf numFmtId="164" fontId="14" fillId="4" borderId="0" xfId="0" applyNumberFormat="1" applyFont="1" applyFill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164" fontId="14" fillId="3" borderId="0" xfId="0" applyNumberFormat="1" applyFont="1" applyFill="1" applyAlignment="1">
      <alignment horizontal="center" vertical="center" wrapText="1"/>
    </xf>
    <xf numFmtId="0" fontId="6" fillId="0" borderId="0" xfId="0" quotePrefix="1" applyFont="1" applyAlignment="1">
      <alignment horizontal="center"/>
    </xf>
    <xf numFmtId="165" fontId="1" fillId="4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3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3" borderId="5" xfId="0" applyNumberFormat="1" applyFill="1" applyBorder="1" applyAlignment="1">
      <alignment horizontal="center"/>
    </xf>
    <xf numFmtId="165" fontId="0" fillId="3" borderId="8" xfId="0" applyNumberForma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168" fontId="0" fillId="4" borderId="5" xfId="0" applyNumberFormat="1" applyFill="1" applyBorder="1" applyAlignment="1">
      <alignment horizontal="center"/>
    </xf>
    <xf numFmtId="168" fontId="0" fillId="0" borderId="5" xfId="0" applyNumberFormat="1" applyBorder="1" applyAlignment="1">
      <alignment horizontal="center"/>
    </xf>
    <xf numFmtId="168" fontId="0" fillId="3" borderId="5" xfId="0" applyNumberFormat="1" applyFill="1" applyBorder="1" applyAlignment="1">
      <alignment horizontal="center"/>
    </xf>
    <xf numFmtId="168" fontId="0" fillId="3" borderId="8" xfId="0" applyNumberFormat="1" applyFill="1" applyBorder="1" applyAlignment="1">
      <alignment horizontal="center"/>
    </xf>
    <xf numFmtId="166" fontId="1" fillId="0" borderId="0" xfId="0" quotePrefix="1" applyNumberFormat="1" applyFont="1" applyAlignment="1">
      <alignment horizontal="center"/>
    </xf>
    <xf numFmtId="168" fontId="1" fillId="4" borderId="0" xfId="0" applyNumberFormat="1" applyFont="1" applyFill="1" applyAlignment="1">
      <alignment horizontal="center"/>
    </xf>
    <xf numFmtId="168" fontId="1" fillId="0" borderId="0" xfId="0" applyNumberFormat="1" applyFont="1" applyAlignment="1">
      <alignment horizontal="center"/>
    </xf>
    <xf numFmtId="168" fontId="1" fillId="3" borderId="0" xfId="0" applyNumberFormat="1" applyFont="1" applyFill="1" applyAlignment="1">
      <alignment horizontal="center"/>
    </xf>
    <xf numFmtId="168" fontId="1" fillId="3" borderId="7" xfId="0" applyNumberFormat="1" applyFont="1" applyFill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0" fillId="0" borderId="21" xfId="0" applyBorder="1"/>
    <xf numFmtId="167" fontId="0" fillId="0" borderId="21" xfId="0" applyNumberFormat="1" applyBorder="1" applyAlignment="1">
      <alignment horizontal="center"/>
    </xf>
    <xf numFmtId="0" fontId="21" fillId="0" borderId="0" xfId="0" applyFont="1"/>
    <xf numFmtId="165" fontId="12" fillId="0" borderId="0" xfId="0" applyNumberFormat="1" applyFont="1" applyAlignment="1">
      <alignment horizontal="center"/>
    </xf>
    <xf numFmtId="165" fontId="12" fillId="0" borderId="5" xfId="0" applyNumberFormat="1" applyFont="1" applyBorder="1" applyAlignment="1">
      <alignment horizontal="center"/>
    </xf>
    <xf numFmtId="165" fontId="0" fillId="0" borderId="22" xfId="0" applyNumberFormat="1" applyBorder="1"/>
    <xf numFmtId="165" fontId="0" fillId="0" borderId="23" xfId="0" applyNumberFormat="1" applyBorder="1"/>
    <xf numFmtId="165" fontId="0" fillId="0" borderId="24" xfId="0" applyNumberFormat="1" applyBorder="1"/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22" fillId="0" borderId="0" xfId="0" applyFont="1" applyAlignment="1">
      <alignment horizontal="right"/>
    </xf>
    <xf numFmtId="164" fontId="16" fillId="0" borderId="22" xfId="0" applyNumberFormat="1" applyFont="1" applyBorder="1" applyAlignment="1">
      <alignment horizontal="center"/>
    </xf>
    <xf numFmtId="164" fontId="16" fillId="0" borderId="23" xfId="0" applyNumberFormat="1" applyFont="1" applyBorder="1" applyAlignment="1">
      <alignment horizontal="center"/>
    </xf>
    <xf numFmtId="164" fontId="16" fillId="0" borderId="24" xfId="0" applyNumberFormat="1" applyFont="1" applyBorder="1" applyAlignment="1">
      <alignment horizontal="center"/>
    </xf>
    <xf numFmtId="0" fontId="0" fillId="3" borderId="0" xfId="0" applyFill="1"/>
    <xf numFmtId="164" fontId="16" fillId="3" borderId="23" xfId="0" applyNumberFormat="1" applyFon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3" xfId="0" quotePrefix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165" fontId="0" fillId="4" borderId="4" xfId="0" applyNumberFormat="1" applyFill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3" borderId="4" xfId="0" applyNumberFormat="1" applyFill="1" applyBorder="1" applyAlignment="1">
      <alignment horizontal="center"/>
    </xf>
    <xf numFmtId="165" fontId="0" fillId="3" borderId="6" xfId="0" applyNumberFormat="1" applyFill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2" fillId="0" borderId="0" xfId="0" quotePrefix="1" applyFont="1" applyAlignment="1">
      <alignment horizontal="right"/>
    </xf>
    <xf numFmtId="2" fontId="0" fillId="3" borderId="0" xfId="0" applyNumberFormat="1" applyFill="1"/>
    <xf numFmtId="164" fontId="0" fillId="0" borderId="0" xfId="0" applyNumberFormat="1"/>
    <xf numFmtId="168" fontId="0" fillId="0" borderId="0" xfId="0" applyNumberFormat="1"/>
    <xf numFmtId="0" fontId="9" fillId="0" borderId="4" xfId="0" quotePrefix="1" applyFont="1" applyBorder="1" applyAlignment="1">
      <alignment horizontal="center"/>
    </xf>
    <xf numFmtId="0" fontId="9" fillId="0" borderId="5" xfId="0" quotePrefix="1" applyFont="1" applyBorder="1" applyAlignment="1">
      <alignment horizontal="center"/>
    </xf>
    <xf numFmtId="0" fontId="16" fillId="0" borderId="0" xfId="0" quotePrefix="1" applyFont="1" applyAlignment="1">
      <alignment horizontal="left"/>
    </xf>
    <xf numFmtId="0" fontId="24" fillId="0" borderId="5" xfId="0" applyFont="1" applyBorder="1" applyAlignment="1">
      <alignment horizontal="center"/>
    </xf>
    <xf numFmtId="0" fontId="25" fillId="0" borderId="0" xfId="0" quotePrefix="1" applyFont="1" applyAlignment="1">
      <alignment horizontal="left"/>
    </xf>
    <xf numFmtId="0" fontId="2" fillId="0" borderId="0" xfId="0" applyFont="1"/>
    <xf numFmtId="0" fontId="24" fillId="0" borderId="0" xfId="0" quotePrefix="1" applyFont="1" applyAlignment="1">
      <alignment horizontal="center"/>
    </xf>
    <xf numFmtId="0" fontId="23" fillId="0" borderId="1" xfId="0" applyFont="1" applyBorder="1"/>
    <xf numFmtId="0" fontId="23" fillId="0" borderId="3" xfId="0" applyFont="1" applyBorder="1" applyAlignment="1">
      <alignment horizontal="center"/>
    </xf>
    <xf numFmtId="0" fontId="23" fillId="0" borderId="4" xfId="0" applyFont="1" applyBorder="1"/>
    <xf numFmtId="0" fontId="23" fillId="0" borderId="4" xfId="0" quotePrefix="1" applyFont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23" fillId="0" borderId="0" xfId="0" applyFont="1" applyAlignment="1">
      <alignment horizontal="center"/>
    </xf>
    <xf numFmtId="0" fontId="23" fillId="0" borderId="5" xfId="0" applyFont="1" applyBorder="1" applyAlignment="1">
      <alignment horizontal="center"/>
    </xf>
    <xf numFmtId="0" fontId="7" fillId="0" borderId="0" xfId="0" applyFont="1"/>
    <xf numFmtId="0" fontId="23" fillId="0" borderId="0" xfId="0" applyFont="1"/>
    <xf numFmtId="0" fontId="16" fillId="0" borderId="0" xfId="0" applyFont="1"/>
    <xf numFmtId="0" fontId="26" fillId="0" borderId="0" xfId="0" applyFont="1"/>
    <xf numFmtId="0" fontId="0" fillId="2" borderId="0" xfId="0" applyFill="1"/>
    <xf numFmtId="0" fontId="0" fillId="0" borderId="13" xfId="0" applyBorder="1" applyAlignment="1">
      <alignment horizontal="right"/>
    </xf>
    <xf numFmtId="9" fontId="0" fillId="0" borderId="13" xfId="0" applyNumberFormat="1" applyBorder="1" applyAlignment="1">
      <alignment horizontal="right"/>
    </xf>
    <xf numFmtId="164" fontId="16" fillId="0" borderId="25" xfId="0" applyNumberFormat="1" applyFon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22" fillId="0" borderId="12" xfId="0" quotePrefix="1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2" fontId="19" fillId="0" borderId="0" xfId="0" applyNumberFormat="1" applyFont="1" applyAlignment="1">
      <alignment horizontal="center"/>
    </xf>
    <xf numFmtId="0" fontId="27" fillId="0" borderId="0" xfId="0" applyFont="1"/>
    <xf numFmtId="167" fontId="19" fillId="4" borderId="0" xfId="0" applyNumberFormat="1" applyFont="1" applyFill="1" applyAlignment="1">
      <alignment horizontal="center"/>
    </xf>
    <xf numFmtId="0" fontId="28" fillId="0" borderId="2" xfId="0" quotePrefix="1" applyFont="1" applyBorder="1" applyAlignment="1">
      <alignment horizontal="left"/>
    </xf>
    <xf numFmtId="0" fontId="28" fillId="0" borderId="0" xfId="0" quotePrefix="1" applyFont="1" applyAlignment="1">
      <alignment horizontal="left"/>
    </xf>
    <xf numFmtId="0" fontId="28" fillId="0" borderId="0" xfId="0" applyFont="1" applyAlignment="1">
      <alignment horizontal="left"/>
    </xf>
    <xf numFmtId="165" fontId="1" fillId="3" borderId="7" xfId="0" applyNumberFormat="1" applyFont="1" applyFill="1" applyBorder="1" applyAlignment="1">
      <alignment horizontal="center"/>
    </xf>
    <xf numFmtId="0" fontId="29" fillId="0" borderId="0" xfId="0" quotePrefix="1" applyFont="1" applyAlignment="1">
      <alignment horizontal="center"/>
    </xf>
    <xf numFmtId="164" fontId="0" fillId="3" borderId="0" xfId="0" applyNumberFormat="1" applyFill="1" applyAlignment="1">
      <alignment horizontal="center"/>
    </xf>
    <xf numFmtId="0" fontId="30" fillId="0" borderId="0" xfId="0" applyFont="1"/>
    <xf numFmtId="0" fontId="23" fillId="0" borderId="0" xfId="0" quotePrefix="1" applyFont="1" applyAlignment="1">
      <alignment horizontal="left"/>
    </xf>
    <xf numFmtId="0" fontId="7" fillId="0" borderId="3" xfId="0" applyFont="1" applyBorder="1"/>
    <xf numFmtId="0" fontId="7" fillId="0" borderId="5" xfId="0" applyFont="1" applyBorder="1"/>
    <xf numFmtId="0" fontId="23" fillId="0" borderId="2" xfId="0" applyFont="1" applyBorder="1"/>
    <xf numFmtId="0" fontId="23" fillId="0" borderId="1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165" fontId="1" fillId="4" borderId="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3" borderId="4" xfId="0" applyNumberFormat="1" applyFont="1" applyFill="1" applyBorder="1" applyAlignment="1">
      <alignment horizontal="center"/>
    </xf>
    <xf numFmtId="165" fontId="1" fillId="3" borderId="6" xfId="0" applyNumberFormat="1" applyFont="1" applyFill="1" applyBorder="1" applyAlignment="1">
      <alignment horizontal="center"/>
    </xf>
    <xf numFmtId="0" fontId="3" fillId="0" borderId="4" xfId="0" quotePrefix="1" applyFont="1" applyBorder="1" applyAlignment="1">
      <alignment horizontal="left"/>
    </xf>
    <xf numFmtId="167" fontId="3" fillId="4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3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21" fillId="0" borderId="0" xfId="0" quotePrefix="1" applyFont="1" applyAlignment="1">
      <alignment horizontal="left"/>
    </xf>
    <xf numFmtId="0" fontId="30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2" fontId="31" fillId="0" borderId="0" xfId="0" applyNumberFormat="1" applyFont="1" applyAlignment="1">
      <alignment horizontal="center"/>
    </xf>
    <xf numFmtId="9" fontId="0" fillId="0" borderId="0" xfId="0" applyNumberFormat="1"/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2" fontId="31" fillId="0" borderId="5" xfId="0" applyNumberFormat="1" applyFont="1" applyBorder="1" applyAlignment="1">
      <alignment horizontal="center"/>
    </xf>
    <xf numFmtId="2" fontId="31" fillId="0" borderId="8" xfId="0" applyNumberFormat="1" applyFont="1" applyBorder="1" applyAlignment="1">
      <alignment horizontal="center"/>
    </xf>
    <xf numFmtId="0" fontId="0" fillId="0" borderId="1" xfId="0" quotePrefix="1" applyBorder="1" applyAlignment="1">
      <alignment horizontal="right"/>
    </xf>
    <xf numFmtId="169" fontId="0" fillId="0" borderId="0" xfId="0" applyNumberFormat="1"/>
    <xf numFmtId="0" fontId="13" fillId="0" borderId="0" xfId="0" applyFont="1"/>
    <xf numFmtId="0" fontId="0" fillId="0" borderId="18" xfId="0" applyBorder="1"/>
    <xf numFmtId="0" fontId="0" fillId="0" borderId="19" xfId="0" applyBorder="1"/>
    <xf numFmtId="0" fontId="28" fillId="0" borderId="0" xfId="0" applyFont="1"/>
    <xf numFmtId="167" fontId="0" fillId="8" borderId="0" xfId="0" applyNumberFormat="1" applyFill="1" applyAlignment="1">
      <alignment horizontal="center"/>
    </xf>
    <xf numFmtId="2" fontId="31" fillId="8" borderId="0" xfId="0" applyNumberFormat="1" applyFont="1" applyFill="1" applyAlignment="1">
      <alignment horizontal="center"/>
    </xf>
    <xf numFmtId="0" fontId="1" fillId="0" borderId="0" xfId="0" quotePrefix="1" applyFont="1" applyAlignment="1">
      <alignment horizontal="left"/>
    </xf>
    <xf numFmtId="167" fontId="0" fillId="9" borderId="0" xfId="0" applyNumberFormat="1" applyFill="1" applyAlignment="1">
      <alignment horizontal="center"/>
    </xf>
    <xf numFmtId="2" fontId="0" fillId="9" borderId="0" xfId="0" applyNumberFormat="1" applyFill="1"/>
    <xf numFmtId="0" fontId="32" fillId="0" borderId="0" xfId="0" applyFont="1"/>
    <xf numFmtId="0" fontId="32" fillId="0" borderId="0" xfId="0" quotePrefix="1" applyFont="1" applyAlignment="1">
      <alignment horizontal="left"/>
    </xf>
    <xf numFmtId="0" fontId="33" fillId="0" borderId="0" xfId="0" quotePrefix="1" applyFont="1" applyAlignment="1">
      <alignment horizontal="left"/>
    </xf>
    <xf numFmtId="0" fontId="0" fillId="0" borderId="1" xfId="0" quotePrefix="1" applyBorder="1" applyAlignment="1">
      <alignment horizontal="fill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FBF7C5"/>
      <color rgb="FFFEFEE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/>
          </c:spPr>
          <c:marker>
            <c:symbol val="circle"/>
            <c:size val="2"/>
          </c:marker>
          <c:xVal>
            <c:numRef>
              <c:f>rzeta_targetnu_dips_mid!$B$47:$B$58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rzeta_targetnu_dips_mid!$M$47:$M$58</c:f>
              <c:numCache>
                <c:formatCode>General</c:formatCode>
                <c:ptCount val="12"/>
                <c:pt idx="0">
                  <c:v>0.437</c:v>
                </c:pt>
                <c:pt idx="1">
                  <c:v>0.48</c:v>
                </c:pt>
                <c:pt idx="2">
                  <c:v>0.52100000000000002</c:v>
                </c:pt>
                <c:pt idx="3">
                  <c:v>0.55600000000000005</c:v>
                </c:pt>
                <c:pt idx="4">
                  <c:v>0.58499999999999996</c:v>
                </c:pt>
                <c:pt idx="5">
                  <c:v>0.625</c:v>
                </c:pt>
                <c:pt idx="6">
                  <c:v>0.65</c:v>
                </c:pt>
                <c:pt idx="7">
                  <c:v>0.66</c:v>
                </c:pt>
                <c:pt idx="8">
                  <c:v>0.67</c:v>
                </c:pt>
                <c:pt idx="9">
                  <c:v>0.68</c:v>
                </c:pt>
                <c:pt idx="10">
                  <c:v>0.69</c:v>
                </c:pt>
                <c:pt idx="11">
                  <c:v>0.69920000000000004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44-4584-9E1F-891149494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160704"/>
        <c:axId val="107162240"/>
      </c:scatterChart>
      <c:valAx>
        <c:axId val="10716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162240"/>
        <c:crosses val="autoZero"/>
        <c:crossBetween val="midCat"/>
      </c:valAx>
      <c:valAx>
        <c:axId val="107162240"/>
        <c:scaling>
          <c:orientation val="minMax"/>
          <c:min val="0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1607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rzeta_targetnu_dips_mid!$H$230:$H$241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rzeta_targetnu_dips_mid!$L$230:$L$241</c:f>
              <c:numCache>
                <c:formatCode>0.0</c:formatCode>
                <c:ptCount val="1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6F1-45EE-AB47-6547B326D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941112"/>
        <c:axId val="533941432"/>
      </c:scatterChart>
      <c:valAx>
        <c:axId val="533941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941432"/>
        <c:crosses val="autoZero"/>
        <c:crossBetween val="midCat"/>
      </c:valAx>
      <c:valAx>
        <c:axId val="53394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941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diamond"/>
            <c:size val="2"/>
          </c:marker>
          <c:xVal>
            <c:numRef>
              <c:f>rzeta_targetnu_dips_mid!$B$211:$B$222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rzeta_targetnu_dips_mid!$M$322:$M$333</c:f>
              <c:numCache>
                <c:formatCode>0.00000</c:formatCode>
                <c:ptCount val="12"/>
                <c:pt idx="0">
                  <c:v>0.26</c:v>
                </c:pt>
                <c:pt idx="1">
                  <c:v>0.33500000000000002</c:v>
                </c:pt>
                <c:pt idx="2">
                  <c:v>0.375</c:v>
                </c:pt>
                <c:pt idx="3">
                  <c:v>0.4</c:v>
                </c:pt>
                <c:pt idx="4">
                  <c:v>0.41499999999999998</c:v>
                </c:pt>
                <c:pt idx="5">
                  <c:v>0.44500000000000001</c:v>
                </c:pt>
                <c:pt idx="6">
                  <c:v>0.46899999999999997</c:v>
                </c:pt>
                <c:pt idx="7">
                  <c:v>0.47749999999999998</c:v>
                </c:pt>
                <c:pt idx="8">
                  <c:v>0.48399999999999999</c:v>
                </c:pt>
                <c:pt idx="9">
                  <c:v>0.48549999999999999</c:v>
                </c:pt>
                <c:pt idx="10">
                  <c:v>0.48699999999999999</c:v>
                </c:pt>
                <c:pt idx="11">
                  <c:v>0.48849999999999999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D4-46A5-B1CA-8407D6676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364928"/>
        <c:axId val="110363008"/>
      </c:scatterChart>
      <c:valAx>
        <c:axId val="11036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363008"/>
        <c:crosses val="autoZero"/>
        <c:crossBetween val="midCat"/>
      </c:valAx>
      <c:valAx>
        <c:axId val="110363008"/>
        <c:scaling>
          <c:orientation val="minMax"/>
          <c:min val="0.25"/>
        </c:scaling>
        <c:delete val="0"/>
        <c:axPos val="l"/>
        <c:majorGridlines/>
        <c:numFmt formatCode="0.00000" sourceLinked="1"/>
        <c:majorTickMark val="out"/>
        <c:minorTickMark val="none"/>
        <c:tickLblPos val="nextTo"/>
        <c:crossAx val="1103649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rzeta_targetnu_dips_mid!$H$230:$H$241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rzeta_targetnu_dips_mid!$L$230:$L$241</c:f>
              <c:numCache>
                <c:formatCode>0.0</c:formatCode>
                <c:ptCount val="1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7E2-4A87-ACD6-674A7F438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941112"/>
        <c:axId val="533941432"/>
      </c:scatterChart>
      <c:valAx>
        <c:axId val="533941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941432"/>
        <c:crosses val="autoZero"/>
        <c:crossBetween val="midCat"/>
      </c:valAx>
      <c:valAx>
        <c:axId val="53394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941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/>
          </c:spPr>
          <c:marker>
            <c:symbol val="circle"/>
            <c:size val="2"/>
          </c:marker>
          <c:xVal>
            <c:numRef>
              <c:f>'curve_rzeta_targetnu_2.5'!$B$39:$B$50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'curve_rzeta_targetnu_2.5'!$M$39:$M$50</c:f>
              <c:numCache>
                <c:formatCode>General</c:formatCode>
                <c:ptCount val="12"/>
                <c:pt idx="0">
                  <c:v>0.437</c:v>
                </c:pt>
                <c:pt idx="1">
                  <c:v>0.48</c:v>
                </c:pt>
                <c:pt idx="2">
                  <c:v>0.52100000000000002</c:v>
                </c:pt>
                <c:pt idx="3">
                  <c:v>0.55600000000000005</c:v>
                </c:pt>
                <c:pt idx="4">
                  <c:v>0.58499999999999996</c:v>
                </c:pt>
                <c:pt idx="5">
                  <c:v>0.625</c:v>
                </c:pt>
                <c:pt idx="6">
                  <c:v>0.65</c:v>
                </c:pt>
                <c:pt idx="7">
                  <c:v>0.66</c:v>
                </c:pt>
                <c:pt idx="8">
                  <c:v>0.67</c:v>
                </c:pt>
                <c:pt idx="9">
                  <c:v>0.68</c:v>
                </c:pt>
                <c:pt idx="10">
                  <c:v>0.69</c:v>
                </c:pt>
                <c:pt idx="11">
                  <c:v>0.69920000000000004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B8-4F15-A5E3-51F67AFA8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160704"/>
        <c:axId val="107162240"/>
      </c:scatterChart>
      <c:valAx>
        <c:axId val="10716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162240"/>
        <c:crosses val="autoZero"/>
        <c:crossBetween val="midCat"/>
      </c:valAx>
      <c:valAx>
        <c:axId val="107162240"/>
        <c:scaling>
          <c:orientation val="minMax"/>
          <c:min val="0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1607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layout>
                <c:manualLayout>
                  <c:x val="-0.25817366579177603"/>
                  <c:y val="-5.9546697287839019E-2"/>
                </c:manualLayout>
              </c:layout>
              <c:numFmt formatCode="General" sourceLinked="0"/>
            </c:trendlineLbl>
          </c:trendline>
          <c:xVal>
            <c:numRef>
              <c:f>'curve_rzeta_targetnu_2.5'!$M$36:$R$36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'curve_rzeta_targetnu_2.5'!$M$38:$R$38</c:f>
              <c:numCache>
                <c:formatCode>0.000</c:formatCode>
                <c:ptCount val="6"/>
                <c:pt idx="0">
                  <c:v>0.437</c:v>
                </c:pt>
                <c:pt idx="1">
                  <c:v>0.48944000000000004</c:v>
                </c:pt>
                <c:pt idx="2">
                  <c:v>0.54188000000000014</c:v>
                </c:pt>
                <c:pt idx="3">
                  <c:v>0.59432000000000018</c:v>
                </c:pt>
                <c:pt idx="4">
                  <c:v>0.64676000000000022</c:v>
                </c:pt>
                <c:pt idx="5">
                  <c:v>0.69920000000000027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CB-4D52-BC50-C928CA35B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908864"/>
        <c:axId val="107180416"/>
      </c:scatterChart>
      <c:valAx>
        <c:axId val="10590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180416"/>
        <c:crosses val="autoZero"/>
        <c:crossBetween val="midCat"/>
      </c:valAx>
      <c:valAx>
        <c:axId val="107180416"/>
        <c:scaling>
          <c:orientation val="minMax"/>
          <c:max val="0.8"/>
          <c:min val="0.4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059088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'curve_rzeta_targetnu_2.5'!$M$25:$R$25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'curve_rzeta_targetnu_2.5'!$M$26:$R$26</c:f>
              <c:numCache>
                <c:formatCode>0.000</c:formatCode>
                <c:ptCount val="6"/>
                <c:pt idx="0" formatCode="General">
                  <c:v>0.437</c:v>
                </c:pt>
                <c:pt idx="1">
                  <c:v>0.48944000000000004</c:v>
                </c:pt>
                <c:pt idx="2">
                  <c:v>0.54188000000000014</c:v>
                </c:pt>
                <c:pt idx="3">
                  <c:v>0.59432000000000018</c:v>
                </c:pt>
                <c:pt idx="4">
                  <c:v>0.64676000000000022</c:v>
                </c:pt>
                <c:pt idx="5">
                  <c:v>0.69920000000000027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13-45A6-9CA9-C32589D6E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195776"/>
        <c:axId val="107213952"/>
      </c:scatterChart>
      <c:valAx>
        <c:axId val="10719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213952"/>
        <c:crosses val="autoZero"/>
        <c:crossBetween val="midCat"/>
      </c:valAx>
      <c:valAx>
        <c:axId val="107213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195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'curve_rzeta_targetnu_2.5'!$B$94:$B$105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'curve_rzeta_targetnu_2.5'!$M$94:$M$105</c:f>
              <c:numCache>
                <c:formatCode>0.00000</c:formatCode>
                <c:ptCount val="12"/>
                <c:pt idx="0">
                  <c:v>0.4</c:v>
                </c:pt>
                <c:pt idx="1">
                  <c:v>0.44600000000000001</c:v>
                </c:pt>
                <c:pt idx="2">
                  <c:v>0.48099999999999998</c:v>
                </c:pt>
                <c:pt idx="3">
                  <c:v>0.51800000000000002</c:v>
                </c:pt>
                <c:pt idx="4">
                  <c:v>0.54800000000000004</c:v>
                </c:pt>
                <c:pt idx="5">
                  <c:v>0.61899999999999999</c:v>
                </c:pt>
                <c:pt idx="6">
                  <c:v>0.66</c:v>
                </c:pt>
                <c:pt idx="7">
                  <c:v>0.67300000000000004</c:v>
                </c:pt>
                <c:pt idx="8">
                  <c:v>0.68</c:v>
                </c:pt>
                <c:pt idx="9">
                  <c:v>0.68400000000000005</c:v>
                </c:pt>
                <c:pt idx="10">
                  <c:v>0.68700000000000006</c:v>
                </c:pt>
                <c:pt idx="11">
                  <c:v>0.68920000000000003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54-4060-9A53-0C40A3F1D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356544"/>
        <c:axId val="107358080"/>
      </c:scatterChart>
      <c:valAx>
        <c:axId val="1073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358080"/>
        <c:crosses val="autoZero"/>
        <c:crossBetween val="midCat"/>
      </c:valAx>
      <c:valAx>
        <c:axId val="107358080"/>
        <c:scaling>
          <c:orientation val="minMax"/>
          <c:min val="0.30000000000000004"/>
        </c:scaling>
        <c:delete val="0"/>
        <c:axPos val="l"/>
        <c:majorGridlines/>
        <c:numFmt formatCode="0.00000" sourceLinked="1"/>
        <c:majorTickMark val="out"/>
        <c:minorTickMark val="none"/>
        <c:tickLblPos val="nextTo"/>
        <c:crossAx val="1073565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'curve_rzeta_targetnu_2.5'!$A$81:$A$86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'curve_rzeta_targetnu_2.5'!$B$81:$B$86</c:f>
              <c:numCache>
                <c:formatCode>0.00</c:formatCode>
                <c:ptCount val="6"/>
                <c:pt idx="0">
                  <c:v>1.1446000000000001</c:v>
                </c:pt>
                <c:pt idx="1">
                  <c:v>1.2892000000000001</c:v>
                </c:pt>
                <c:pt idx="2">
                  <c:v>1.4338000000000002</c:v>
                </c:pt>
                <c:pt idx="3">
                  <c:v>1.5784000000000002</c:v>
                </c:pt>
                <c:pt idx="4">
                  <c:v>1.7230000000000003</c:v>
                </c:pt>
                <c:pt idx="5">
                  <c:v>1.8676000000000004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DE-428B-B330-DF55DB940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374080"/>
        <c:axId val="107375616"/>
      </c:scatterChart>
      <c:valAx>
        <c:axId val="10737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375616"/>
        <c:crosses val="autoZero"/>
        <c:crossBetween val="midCat"/>
      </c:valAx>
      <c:valAx>
        <c:axId val="107375616"/>
        <c:scaling>
          <c:orientation val="minMax"/>
          <c:min val="0.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73740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/>
          </c:spPr>
          <c:marker>
            <c:symbol val="diamond"/>
            <c:size val="2"/>
          </c:marker>
          <c:xVal>
            <c:numRef>
              <c:f>'curve_rzeta_targetnu_2.5'!$B$149:$B$160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'curve_rzeta_targetnu_2.5'!$M$149:$M$160</c:f>
              <c:numCache>
                <c:formatCode>0.0000</c:formatCode>
                <c:ptCount val="12"/>
                <c:pt idx="0">
                  <c:v>0.36</c:v>
                </c:pt>
                <c:pt idx="1">
                  <c:v>0.42</c:v>
                </c:pt>
                <c:pt idx="2">
                  <c:v>0.46</c:v>
                </c:pt>
                <c:pt idx="3">
                  <c:v>0.496</c:v>
                </c:pt>
                <c:pt idx="4">
                  <c:v>0.53</c:v>
                </c:pt>
                <c:pt idx="5">
                  <c:v>0.57899999999999996</c:v>
                </c:pt>
                <c:pt idx="6">
                  <c:v>0.61</c:v>
                </c:pt>
                <c:pt idx="7">
                  <c:v>0.623</c:v>
                </c:pt>
                <c:pt idx="8">
                  <c:v>0.63</c:v>
                </c:pt>
                <c:pt idx="9">
                  <c:v>0.63400000000000001</c:v>
                </c:pt>
                <c:pt idx="10">
                  <c:v>0.63700000000000001</c:v>
                </c:pt>
                <c:pt idx="11">
                  <c:v>0.63800000000000001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64-4B60-B507-5BA914694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395712"/>
        <c:axId val="109773184"/>
      </c:scatterChart>
      <c:valAx>
        <c:axId val="10739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773184"/>
        <c:crosses val="autoZero"/>
        <c:crossBetween val="midCat"/>
      </c:valAx>
      <c:valAx>
        <c:axId val="109773184"/>
        <c:scaling>
          <c:orientation val="minMax"/>
          <c:min val="0.30000000000000004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073957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diamond"/>
            <c:size val="2"/>
          </c:marker>
          <c:xVal>
            <c:numRef>
              <c:f>'curve_rzeta_targetnu_2.5'!$B$203:$B$214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'curve_rzeta_targetnu_2.5'!$M$203:$M$214</c:f>
              <c:numCache>
                <c:formatCode>0.0000</c:formatCode>
                <c:ptCount val="12"/>
                <c:pt idx="0">
                  <c:v>0.32500000000000001</c:v>
                </c:pt>
                <c:pt idx="1">
                  <c:v>0.4</c:v>
                </c:pt>
                <c:pt idx="2">
                  <c:v>0.438</c:v>
                </c:pt>
                <c:pt idx="3">
                  <c:v>0.45700000000000002</c:v>
                </c:pt>
                <c:pt idx="4">
                  <c:v>0.48</c:v>
                </c:pt>
                <c:pt idx="5">
                  <c:v>0.52900000000000003</c:v>
                </c:pt>
                <c:pt idx="6">
                  <c:v>0.56000000000000005</c:v>
                </c:pt>
                <c:pt idx="7">
                  <c:v>0.57299999999999995</c:v>
                </c:pt>
                <c:pt idx="8">
                  <c:v>0.57999999999999996</c:v>
                </c:pt>
                <c:pt idx="9">
                  <c:v>0.58399999999999996</c:v>
                </c:pt>
                <c:pt idx="10">
                  <c:v>0.58699999999999997</c:v>
                </c:pt>
                <c:pt idx="11">
                  <c:v>0.58819999999999995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19-4F8C-8030-A7BEFD23E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364928"/>
        <c:axId val="110363008"/>
      </c:scatterChart>
      <c:valAx>
        <c:axId val="11036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363008"/>
        <c:crosses val="autoZero"/>
        <c:crossBetween val="midCat"/>
      </c:valAx>
      <c:valAx>
        <c:axId val="110363008"/>
        <c:scaling>
          <c:orientation val="minMax"/>
          <c:min val="0.30000000000000004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103649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layout>
                <c:manualLayout>
                  <c:x val="-0.25817366579177603"/>
                  <c:y val="-5.9546697287839019E-2"/>
                </c:manualLayout>
              </c:layout>
              <c:numFmt formatCode="General" sourceLinked="0"/>
            </c:trendlineLbl>
          </c:trendline>
          <c:xVal>
            <c:numRef>
              <c:f>rzeta_targetnu_dips_mid!$M$44:$R$44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rzeta_targetnu_dips_mid!$M$46:$R$46</c:f>
              <c:numCache>
                <c:formatCode>0.000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2C-4972-A8E8-8B9D2250C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908864"/>
        <c:axId val="107180416"/>
      </c:scatterChart>
      <c:valAx>
        <c:axId val="10590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180416"/>
        <c:crosses val="autoZero"/>
        <c:crossBetween val="midCat"/>
      </c:valAx>
      <c:valAx>
        <c:axId val="107180416"/>
        <c:scaling>
          <c:orientation val="minMax"/>
          <c:max val="0.8"/>
          <c:min val="0.4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059088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'curve_rzeta_targetnu_2.5'!$H$222:$H$233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'curve_rzeta_targetnu_2.5'!$M$222:$M$233</c:f>
              <c:numCache>
                <c:formatCode>0.0</c:formatCode>
                <c:ptCount val="12"/>
                <c:pt idx="0">
                  <c:v>1.0058567176405746</c:v>
                </c:pt>
                <c:pt idx="1">
                  <c:v>2.4759549972691066</c:v>
                </c:pt>
                <c:pt idx="2">
                  <c:v>4.0667560830145071</c:v>
                </c:pt>
                <c:pt idx="3">
                  <c:v>5.657557168759908</c:v>
                </c:pt>
                <c:pt idx="4">
                  <c:v>7.4278649918073194</c:v>
                </c:pt>
                <c:pt idx="5">
                  <c:v>16.372252419441967</c:v>
                </c:pt>
                <c:pt idx="6">
                  <c:v>34.663369961767501</c:v>
                </c:pt>
                <c:pt idx="7">
                  <c:v>53.202083003819922</c:v>
                </c:pt>
                <c:pt idx="8">
                  <c:v>71.8026949208041</c:v>
                </c:pt>
                <c:pt idx="9">
                  <c:v>90.372357400322372</c:v>
                </c:pt>
                <c:pt idx="10">
                  <c:v>109.00391875477241</c:v>
                </c:pt>
                <c:pt idx="11">
                  <c:v>127.43121382194772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52-4E1E-A8A7-278315DFB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941112"/>
        <c:axId val="533941432"/>
      </c:scatterChart>
      <c:valAx>
        <c:axId val="533941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941432"/>
        <c:crosses val="autoZero"/>
        <c:crossBetween val="midCat"/>
      </c:valAx>
      <c:valAx>
        <c:axId val="53394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941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diamond"/>
            <c:size val="2"/>
          </c:marker>
          <c:xVal>
            <c:numRef>
              <c:f>'curve_rzeta_targetnu_2.5'!$B$203:$B$214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'curve_rzeta_targetnu_2.5'!$M$259:$M$270</c:f>
              <c:numCache>
                <c:formatCode>0.00000</c:formatCode>
                <c:ptCount val="12"/>
                <c:pt idx="0">
                  <c:v>0.28999999999999998</c:v>
                </c:pt>
                <c:pt idx="1">
                  <c:v>0.36</c:v>
                </c:pt>
                <c:pt idx="2">
                  <c:v>0.4</c:v>
                </c:pt>
                <c:pt idx="3">
                  <c:v>0.435</c:v>
                </c:pt>
                <c:pt idx="4">
                  <c:v>0.45500000000000002</c:v>
                </c:pt>
                <c:pt idx="5">
                  <c:v>0.47899999999999998</c:v>
                </c:pt>
                <c:pt idx="6">
                  <c:v>0.51</c:v>
                </c:pt>
                <c:pt idx="7">
                  <c:v>0.52300000000000002</c:v>
                </c:pt>
                <c:pt idx="8">
                  <c:v>0.53</c:v>
                </c:pt>
                <c:pt idx="9">
                  <c:v>0.53400000000000003</c:v>
                </c:pt>
                <c:pt idx="10">
                  <c:v>0.53700000000000003</c:v>
                </c:pt>
                <c:pt idx="11">
                  <c:v>0.53800000000000003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C1-4D90-8A6D-AEF2D3C4F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364928"/>
        <c:axId val="110363008"/>
      </c:scatterChart>
      <c:valAx>
        <c:axId val="11036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363008"/>
        <c:crosses val="autoZero"/>
        <c:crossBetween val="midCat"/>
      </c:valAx>
      <c:valAx>
        <c:axId val="110363008"/>
        <c:scaling>
          <c:orientation val="minMax"/>
          <c:min val="0.25"/>
        </c:scaling>
        <c:delete val="0"/>
        <c:axPos val="l"/>
        <c:majorGridlines/>
        <c:numFmt formatCode="0.00000" sourceLinked="1"/>
        <c:majorTickMark val="out"/>
        <c:minorTickMark val="none"/>
        <c:tickLblPos val="nextTo"/>
        <c:crossAx val="1103649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'curve_rzeta_targetnu_2.5'!$H$222:$H$233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'curve_rzeta_targetnu_2.5'!$L$222:$L$233</c:f>
              <c:numCache>
                <c:formatCode>0.0</c:formatCode>
                <c:ptCount val="1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ECD-4482-9C0B-298DDFE3D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941112"/>
        <c:axId val="533941432"/>
      </c:scatterChart>
      <c:valAx>
        <c:axId val="533941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941432"/>
        <c:crosses val="autoZero"/>
        <c:crossBetween val="midCat"/>
      </c:valAx>
      <c:valAx>
        <c:axId val="53394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941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diamond"/>
            <c:size val="2"/>
          </c:marker>
          <c:xVal>
            <c:numRef>
              <c:f>'curve_rzeta_targetnu_2.5'!$B$203:$B$214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'curve_rzeta_targetnu_2.5'!$M$314:$M$325</c:f>
              <c:numCache>
                <c:formatCode>0.00000</c:formatCode>
                <c:ptCount val="12"/>
                <c:pt idx="0">
                  <c:v>0.26</c:v>
                </c:pt>
                <c:pt idx="1">
                  <c:v>0.33500000000000002</c:v>
                </c:pt>
                <c:pt idx="2">
                  <c:v>0.375</c:v>
                </c:pt>
                <c:pt idx="3">
                  <c:v>0.4</c:v>
                </c:pt>
                <c:pt idx="4">
                  <c:v>0.41499999999999998</c:v>
                </c:pt>
                <c:pt idx="5">
                  <c:v>0.44500000000000001</c:v>
                </c:pt>
                <c:pt idx="6">
                  <c:v>0.46899999999999997</c:v>
                </c:pt>
                <c:pt idx="7">
                  <c:v>0.47749999999999998</c:v>
                </c:pt>
                <c:pt idx="8">
                  <c:v>0.48399999999999999</c:v>
                </c:pt>
                <c:pt idx="9">
                  <c:v>0.48549999999999999</c:v>
                </c:pt>
                <c:pt idx="10">
                  <c:v>0.48699999999999999</c:v>
                </c:pt>
                <c:pt idx="11">
                  <c:v>0.48849999999999999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23-4FDA-9B57-EAAC17920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364928"/>
        <c:axId val="110363008"/>
      </c:scatterChart>
      <c:valAx>
        <c:axId val="11036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363008"/>
        <c:crosses val="autoZero"/>
        <c:crossBetween val="midCat"/>
      </c:valAx>
      <c:valAx>
        <c:axId val="110363008"/>
        <c:scaling>
          <c:orientation val="minMax"/>
          <c:min val="0.25"/>
        </c:scaling>
        <c:delete val="0"/>
        <c:axPos val="l"/>
        <c:majorGridlines/>
        <c:numFmt formatCode="0.00000" sourceLinked="1"/>
        <c:majorTickMark val="out"/>
        <c:minorTickMark val="none"/>
        <c:tickLblPos val="nextTo"/>
        <c:crossAx val="1103649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'curve_rzeta_targetnu_2.5'!$H$222:$H$233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'curve_rzeta_targetnu_2.5'!$L$222:$L$233</c:f>
              <c:numCache>
                <c:formatCode>0.0</c:formatCode>
                <c:ptCount val="1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92-4309-AA45-A1EA69ABB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941112"/>
        <c:axId val="533941432"/>
      </c:scatterChart>
      <c:valAx>
        <c:axId val="533941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941432"/>
        <c:crosses val="autoZero"/>
        <c:crossBetween val="midCat"/>
      </c:valAx>
      <c:valAx>
        <c:axId val="53394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941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/>
          </c:spPr>
          <c:marker>
            <c:symbol val="circle"/>
            <c:size val="2"/>
          </c:marker>
          <c:xVal>
            <c:numRef>
              <c:f>'curve_rzeta_targetnu (2)'!$B$36:$B$47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'curve_rzeta_targetnu (2)'!$M$36:$M$47</c:f>
              <c:numCache>
                <c:formatCode>General</c:formatCode>
                <c:ptCount val="12"/>
                <c:pt idx="0">
                  <c:v>0.437</c:v>
                </c:pt>
                <c:pt idx="1">
                  <c:v>0.48</c:v>
                </c:pt>
                <c:pt idx="2">
                  <c:v>0.52100000000000002</c:v>
                </c:pt>
                <c:pt idx="3">
                  <c:v>0.55600000000000005</c:v>
                </c:pt>
                <c:pt idx="4">
                  <c:v>0.58499999999999996</c:v>
                </c:pt>
                <c:pt idx="5">
                  <c:v>0.625</c:v>
                </c:pt>
                <c:pt idx="6">
                  <c:v>0.65</c:v>
                </c:pt>
                <c:pt idx="7">
                  <c:v>0.66</c:v>
                </c:pt>
                <c:pt idx="8">
                  <c:v>0.67</c:v>
                </c:pt>
                <c:pt idx="9">
                  <c:v>0.68</c:v>
                </c:pt>
                <c:pt idx="10">
                  <c:v>0.69</c:v>
                </c:pt>
                <c:pt idx="11">
                  <c:v>0.69920000000000004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4B-4A56-8F8C-CEA85E961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160704"/>
        <c:axId val="107162240"/>
      </c:scatterChart>
      <c:valAx>
        <c:axId val="10716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162240"/>
        <c:crosses val="autoZero"/>
        <c:crossBetween val="midCat"/>
      </c:valAx>
      <c:valAx>
        <c:axId val="107162240"/>
        <c:scaling>
          <c:orientation val="minMax"/>
          <c:min val="0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1607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layout>
                <c:manualLayout>
                  <c:x val="-0.25817366579177603"/>
                  <c:y val="-5.9546697287839019E-2"/>
                </c:manualLayout>
              </c:layout>
              <c:numFmt formatCode="General" sourceLinked="0"/>
            </c:trendlineLbl>
          </c:trendline>
          <c:xVal>
            <c:numRef>
              <c:f>'curve_rzeta_targetnu (2)'!$M$33:$R$33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'curve_rzeta_targetnu (2)'!$M$35:$R$35</c:f>
              <c:numCache>
                <c:formatCode>0.000</c:formatCode>
                <c:ptCount val="6"/>
                <c:pt idx="0">
                  <c:v>0.437</c:v>
                </c:pt>
                <c:pt idx="1">
                  <c:v>0.48944000000000004</c:v>
                </c:pt>
                <c:pt idx="2">
                  <c:v>0.54188000000000014</c:v>
                </c:pt>
                <c:pt idx="3">
                  <c:v>0.59432000000000018</c:v>
                </c:pt>
                <c:pt idx="4">
                  <c:v>0.64676000000000022</c:v>
                </c:pt>
                <c:pt idx="5">
                  <c:v>0.69920000000000027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EA-4BB7-86D8-E412B33EB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908864"/>
        <c:axId val="107180416"/>
      </c:scatterChart>
      <c:valAx>
        <c:axId val="10590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180416"/>
        <c:crosses val="autoZero"/>
        <c:crossBetween val="midCat"/>
      </c:valAx>
      <c:valAx>
        <c:axId val="107180416"/>
        <c:scaling>
          <c:orientation val="minMax"/>
          <c:max val="0.8"/>
          <c:min val="0.4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059088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'curve_rzeta_targetnu (2)'!$M$25:$R$25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'curve_rzeta_targetnu (2)'!$M$26:$R$26</c:f>
              <c:numCache>
                <c:formatCode>0.000</c:formatCode>
                <c:ptCount val="6"/>
                <c:pt idx="0" formatCode="General">
                  <c:v>0.437</c:v>
                </c:pt>
                <c:pt idx="1">
                  <c:v>0.48944000000000004</c:v>
                </c:pt>
                <c:pt idx="2">
                  <c:v>0.54188000000000014</c:v>
                </c:pt>
                <c:pt idx="3">
                  <c:v>0.59432000000000018</c:v>
                </c:pt>
                <c:pt idx="4">
                  <c:v>0.64676000000000022</c:v>
                </c:pt>
                <c:pt idx="5">
                  <c:v>0.69920000000000027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DC-417E-9657-7A9C73B6B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195776"/>
        <c:axId val="107213952"/>
      </c:scatterChart>
      <c:valAx>
        <c:axId val="10719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213952"/>
        <c:crosses val="autoZero"/>
        <c:crossBetween val="midCat"/>
      </c:valAx>
      <c:valAx>
        <c:axId val="107213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195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'curve_rzeta_targetnu (2)'!$B$69:$B$80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'curve_rzeta_targetnu (2)'!$M$69:$M$80</c:f>
              <c:numCache>
                <c:formatCode>0.00000</c:formatCode>
                <c:ptCount val="12"/>
                <c:pt idx="0">
                  <c:v>0.4</c:v>
                </c:pt>
                <c:pt idx="1">
                  <c:v>0.44600000000000001</c:v>
                </c:pt>
                <c:pt idx="2">
                  <c:v>0.48099999999999998</c:v>
                </c:pt>
                <c:pt idx="3">
                  <c:v>0.51800000000000002</c:v>
                </c:pt>
                <c:pt idx="4">
                  <c:v>0.54800000000000004</c:v>
                </c:pt>
                <c:pt idx="5">
                  <c:v>0.61899999999999999</c:v>
                </c:pt>
                <c:pt idx="6">
                  <c:v>0.66</c:v>
                </c:pt>
                <c:pt idx="7">
                  <c:v>0.67300000000000004</c:v>
                </c:pt>
                <c:pt idx="8">
                  <c:v>0.68</c:v>
                </c:pt>
                <c:pt idx="9">
                  <c:v>0.68400000000000005</c:v>
                </c:pt>
                <c:pt idx="10">
                  <c:v>0.68700000000000006</c:v>
                </c:pt>
                <c:pt idx="11">
                  <c:v>0.68920000000000003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CF-4B85-8E61-7443F03F7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356544"/>
        <c:axId val="107358080"/>
      </c:scatterChart>
      <c:valAx>
        <c:axId val="1073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358080"/>
        <c:crosses val="autoZero"/>
        <c:crossBetween val="midCat"/>
      </c:valAx>
      <c:valAx>
        <c:axId val="107358080"/>
        <c:scaling>
          <c:orientation val="minMax"/>
          <c:min val="0.30000000000000004"/>
        </c:scaling>
        <c:delete val="0"/>
        <c:axPos val="l"/>
        <c:majorGridlines/>
        <c:numFmt formatCode="0.00000" sourceLinked="1"/>
        <c:majorTickMark val="out"/>
        <c:minorTickMark val="none"/>
        <c:tickLblPos val="nextTo"/>
        <c:crossAx val="1073565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'curve_rzeta_targetnu (2)'!$A$57:$A$62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'curve_rzeta_targetnu (2)'!$B$57:$B$62</c:f>
              <c:numCache>
                <c:formatCode>0.00</c:formatCode>
                <c:ptCount val="6"/>
                <c:pt idx="0">
                  <c:v>1.1446000000000001</c:v>
                </c:pt>
                <c:pt idx="1">
                  <c:v>1.2892000000000001</c:v>
                </c:pt>
                <c:pt idx="2">
                  <c:v>1.4338000000000002</c:v>
                </c:pt>
                <c:pt idx="3">
                  <c:v>1.5784000000000002</c:v>
                </c:pt>
                <c:pt idx="4">
                  <c:v>1.7230000000000003</c:v>
                </c:pt>
                <c:pt idx="5">
                  <c:v>1.8676000000000004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6F-4BAE-8536-DF6BD9476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374080"/>
        <c:axId val="107375616"/>
      </c:scatterChart>
      <c:valAx>
        <c:axId val="10737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375616"/>
        <c:crosses val="autoZero"/>
        <c:crossBetween val="midCat"/>
      </c:valAx>
      <c:valAx>
        <c:axId val="107375616"/>
        <c:scaling>
          <c:orientation val="minMax"/>
          <c:min val="0.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73740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rzeta_targetnu_dips_mid!$M$33:$R$33</c:f>
              <c:numCache>
                <c:formatCode>General</c:formatCode>
                <c:ptCount val="6"/>
              </c:numCache>
            </c:numRef>
          </c:xVal>
          <c:yVal>
            <c:numRef>
              <c:f>rzeta_targetnu_dips_mid!$M$34:$R$34</c:f>
              <c:numCache>
                <c:formatCode>0.000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99-4DF6-9E6C-31450144D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195776"/>
        <c:axId val="107213952"/>
      </c:scatterChart>
      <c:valAx>
        <c:axId val="10719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213952"/>
        <c:crosses val="autoZero"/>
        <c:crossBetween val="midCat"/>
      </c:valAx>
      <c:valAx>
        <c:axId val="107213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195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/>
          </c:spPr>
          <c:marker>
            <c:symbol val="diamond"/>
            <c:size val="2"/>
          </c:marker>
          <c:xVal>
            <c:numRef>
              <c:f>'curve_rzeta_targetnu (2)'!$B$122:$B$133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'curve_rzeta_targetnu (2)'!$M$122:$M$133</c:f>
              <c:numCache>
                <c:formatCode>0.00000</c:formatCode>
                <c:ptCount val="12"/>
                <c:pt idx="0">
                  <c:v>0.35699999999999998</c:v>
                </c:pt>
                <c:pt idx="1">
                  <c:v>0.41</c:v>
                </c:pt>
                <c:pt idx="2">
                  <c:v>0.46</c:v>
                </c:pt>
                <c:pt idx="3">
                  <c:v>0.48499999999999999</c:v>
                </c:pt>
                <c:pt idx="4">
                  <c:v>0.505</c:v>
                </c:pt>
                <c:pt idx="5">
                  <c:v>0.56999999999999995</c:v>
                </c:pt>
                <c:pt idx="6">
                  <c:v>0.60960000000000003</c:v>
                </c:pt>
                <c:pt idx="7">
                  <c:v>0.62309999999999999</c:v>
                </c:pt>
                <c:pt idx="8">
                  <c:v>0.62980000000000003</c:v>
                </c:pt>
                <c:pt idx="9">
                  <c:v>0.63390000000000002</c:v>
                </c:pt>
                <c:pt idx="10">
                  <c:v>0.63660000000000005</c:v>
                </c:pt>
                <c:pt idx="11">
                  <c:v>0.63849999999999996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68-435A-AEAF-E02B38BE8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395712"/>
        <c:axId val="109773184"/>
      </c:scatterChart>
      <c:valAx>
        <c:axId val="10739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773184"/>
        <c:crosses val="autoZero"/>
        <c:crossBetween val="midCat"/>
      </c:valAx>
      <c:valAx>
        <c:axId val="109773184"/>
        <c:scaling>
          <c:orientation val="minMax"/>
        </c:scaling>
        <c:delete val="0"/>
        <c:axPos val="l"/>
        <c:majorGridlines/>
        <c:numFmt formatCode="0.00000" sourceLinked="1"/>
        <c:majorTickMark val="out"/>
        <c:minorTickMark val="none"/>
        <c:tickLblPos val="nextTo"/>
        <c:crossAx val="1073957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diamond"/>
            <c:size val="2"/>
          </c:marker>
          <c:xVal>
            <c:numRef>
              <c:f>'curve_rzeta_targetnu (2)'!$B$174:$B$185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'curve_rzeta_targetnu (2)'!$M$174:$M$185</c:f>
              <c:numCache>
                <c:formatCode>0.00000</c:formatCode>
                <c:ptCount val="12"/>
                <c:pt idx="0">
                  <c:v>0.35</c:v>
                </c:pt>
                <c:pt idx="1">
                  <c:v>0.41</c:v>
                </c:pt>
                <c:pt idx="2">
                  <c:v>0.44500000000000001</c:v>
                </c:pt>
                <c:pt idx="3">
                  <c:v>0.46500000000000002</c:v>
                </c:pt>
                <c:pt idx="4">
                  <c:v>0.48</c:v>
                </c:pt>
                <c:pt idx="5">
                  <c:v>0.52007999999999999</c:v>
                </c:pt>
                <c:pt idx="6">
                  <c:v>0.55983000000000005</c:v>
                </c:pt>
                <c:pt idx="7">
                  <c:v>0.57318000000000002</c:v>
                </c:pt>
                <c:pt idx="8">
                  <c:v>0.57987</c:v>
                </c:pt>
                <c:pt idx="9">
                  <c:v>0.58386000000000005</c:v>
                </c:pt>
                <c:pt idx="10">
                  <c:v>0.58667000000000002</c:v>
                </c:pt>
                <c:pt idx="11">
                  <c:v>0.58850000000000002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13-4DFC-B3A1-6F140C841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364928"/>
        <c:axId val="110363008"/>
      </c:scatterChart>
      <c:valAx>
        <c:axId val="11036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363008"/>
        <c:crosses val="autoZero"/>
        <c:crossBetween val="midCat"/>
      </c:valAx>
      <c:valAx>
        <c:axId val="110363008"/>
        <c:scaling>
          <c:orientation val="minMax"/>
          <c:min val="0.30000000000000004"/>
        </c:scaling>
        <c:delete val="0"/>
        <c:axPos val="l"/>
        <c:majorGridlines/>
        <c:numFmt formatCode="0.00000" sourceLinked="1"/>
        <c:majorTickMark val="out"/>
        <c:minorTickMark val="none"/>
        <c:tickLblPos val="nextTo"/>
        <c:crossAx val="1103649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'curve_rzeta_targetnu (2)'!$H$193:$H$204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'curve_rzeta_targetnu (2)'!$L$193:$L$204</c:f>
              <c:numCache>
                <c:formatCode>0.0</c:formatCode>
                <c:ptCount val="12"/>
                <c:pt idx="0">
                  <c:v>0.93558601987433077</c:v>
                </c:pt>
                <c:pt idx="1">
                  <c:v>2.3168439392571005</c:v>
                </c:pt>
                <c:pt idx="2">
                  <c:v>3.8652288209555348</c:v>
                </c:pt>
                <c:pt idx="3">
                  <c:v>5.4507530276130067</c:v>
                </c:pt>
                <c:pt idx="4">
                  <c:v>7.0919862217090337</c:v>
                </c:pt>
                <c:pt idx="5">
                  <c:v>15.672516587776252</c:v>
                </c:pt>
                <c:pt idx="6">
                  <c:v>34.297609509795912</c:v>
                </c:pt>
                <c:pt idx="7">
                  <c:v>52.933844229303276</c:v>
                </c:pt>
                <c:pt idx="8">
                  <c:v>71.572307308308197</c:v>
                </c:pt>
                <c:pt idx="9">
                  <c:v>90.206313668318046</c:v>
                </c:pt>
                <c:pt idx="10">
                  <c:v>108.873745420791</c:v>
                </c:pt>
                <c:pt idx="11">
                  <c:v>127.49512441031476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59-4CA6-8E19-6CDA19F8A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941112"/>
        <c:axId val="533941432"/>
      </c:scatterChart>
      <c:valAx>
        <c:axId val="533941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941432"/>
        <c:crosses val="autoZero"/>
        <c:crossBetween val="midCat"/>
      </c:valAx>
      <c:valAx>
        <c:axId val="53394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941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5875"/>
          </c:spPr>
          <c:marker>
            <c:symbol val="circle"/>
            <c:size val="2"/>
          </c:marker>
          <c:xVal>
            <c:numRef>
              <c:f>old_linear_rzeta_targetnu!$B$27:$B$38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old_linear_rzeta_targetnu!$C$27:$C$38</c:f>
              <c:numCache>
                <c:formatCode>0.0000</c:formatCode>
                <c:ptCount val="12"/>
                <c:pt idx="0">
                  <c:v>0.5</c:v>
                </c:pt>
                <c:pt idx="1">
                  <c:v>0.50289855072463763</c:v>
                </c:pt>
                <c:pt idx="2">
                  <c:v>0.50579710144927525</c:v>
                </c:pt>
                <c:pt idx="3">
                  <c:v>0.50869565217391288</c:v>
                </c:pt>
                <c:pt idx="4">
                  <c:v>0.51159420289855051</c:v>
                </c:pt>
                <c:pt idx="5">
                  <c:v>0.52608695652173887</c:v>
                </c:pt>
                <c:pt idx="6">
                  <c:v>0.5550724637681157</c:v>
                </c:pt>
                <c:pt idx="7">
                  <c:v>0.58405797101449253</c:v>
                </c:pt>
                <c:pt idx="8">
                  <c:v>0.61304347826086936</c:v>
                </c:pt>
                <c:pt idx="9">
                  <c:v>0.64202898550724619</c:v>
                </c:pt>
                <c:pt idx="10">
                  <c:v>0.67101449275362302</c:v>
                </c:pt>
                <c:pt idx="11">
                  <c:v>0.69999999999999984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25F-4256-BCF8-1B5968803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350720"/>
        <c:axId val="110352256"/>
      </c:scatterChart>
      <c:valAx>
        <c:axId val="11035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352256"/>
        <c:crosses val="autoZero"/>
        <c:crossBetween val="midCat"/>
      </c:valAx>
      <c:valAx>
        <c:axId val="110352256"/>
        <c:scaling>
          <c:orientation val="minMax"/>
          <c:max val="0.75000000000000011"/>
          <c:min val="0.5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103507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rzeta_targetnu_dips_mid!$B$102:$B$113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rzeta_targetnu_dips_mid!$M$102:$M$113</c:f>
              <c:numCache>
                <c:formatCode>0.00000</c:formatCode>
                <c:ptCount val="12"/>
                <c:pt idx="0">
                  <c:v>0.4</c:v>
                </c:pt>
                <c:pt idx="1">
                  <c:v>0.44600000000000001</c:v>
                </c:pt>
                <c:pt idx="2">
                  <c:v>0.48099999999999998</c:v>
                </c:pt>
                <c:pt idx="3">
                  <c:v>0.51800000000000002</c:v>
                </c:pt>
                <c:pt idx="4">
                  <c:v>0.54800000000000004</c:v>
                </c:pt>
                <c:pt idx="5">
                  <c:v>0.61899999999999999</c:v>
                </c:pt>
                <c:pt idx="6">
                  <c:v>0.66</c:v>
                </c:pt>
                <c:pt idx="7">
                  <c:v>0.67300000000000004</c:v>
                </c:pt>
                <c:pt idx="8">
                  <c:v>0.68</c:v>
                </c:pt>
                <c:pt idx="9">
                  <c:v>0.68400000000000005</c:v>
                </c:pt>
                <c:pt idx="10">
                  <c:v>0.68700000000000006</c:v>
                </c:pt>
                <c:pt idx="11">
                  <c:v>0.68920000000000003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3A-4427-9ED9-1FBABBE40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356544"/>
        <c:axId val="107358080"/>
      </c:scatterChart>
      <c:valAx>
        <c:axId val="1073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358080"/>
        <c:crosses val="autoZero"/>
        <c:crossBetween val="midCat"/>
      </c:valAx>
      <c:valAx>
        <c:axId val="107358080"/>
        <c:scaling>
          <c:orientation val="minMax"/>
          <c:min val="0.30000000000000004"/>
        </c:scaling>
        <c:delete val="0"/>
        <c:axPos val="l"/>
        <c:majorGridlines/>
        <c:numFmt formatCode="0.00000" sourceLinked="1"/>
        <c:majorTickMark val="out"/>
        <c:minorTickMark val="none"/>
        <c:tickLblPos val="nextTo"/>
        <c:crossAx val="1073565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rzeta_targetnu_dips_mid!$A$89:$A$94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rzeta_targetnu_dips_mid!$B$89:$B$94</c:f>
              <c:numCache>
                <c:formatCode>0.00</c:formatCode>
                <c:ptCount val="6"/>
                <c:pt idx="0">
                  <c:v>1.1446000000000001</c:v>
                </c:pt>
                <c:pt idx="1">
                  <c:v>1.2892000000000001</c:v>
                </c:pt>
                <c:pt idx="2">
                  <c:v>1.4338000000000002</c:v>
                </c:pt>
                <c:pt idx="3">
                  <c:v>1.5784000000000002</c:v>
                </c:pt>
                <c:pt idx="4">
                  <c:v>1.7230000000000003</c:v>
                </c:pt>
                <c:pt idx="5">
                  <c:v>1.8676000000000004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BE-46DC-944B-AED07B68A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374080"/>
        <c:axId val="107375616"/>
      </c:scatterChart>
      <c:valAx>
        <c:axId val="10737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375616"/>
        <c:crosses val="autoZero"/>
        <c:crossBetween val="midCat"/>
      </c:valAx>
      <c:valAx>
        <c:axId val="107375616"/>
        <c:scaling>
          <c:orientation val="minMax"/>
          <c:min val="0.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73740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/>
          </c:spPr>
          <c:marker>
            <c:symbol val="diamond"/>
            <c:size val="2"/>
          </c:marker>
          <c:xVal>
            <c:numRef>
              <c:f>rzeta_targetnu_dips_mid!$B$157:$B$168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rzeta_targetnu_dips_mid!$M$157:$M$168</c:f>
              <c:numCache>
                <c:formatCode>0.0000</c:formatCode>
                <c:ptCount val="12"/>
                <c:pt idx="0">
                  <c:v>0.36</c:v>
                </c:pt>
                <c:pt idx="1">
                  <c:v>0.42</c:v>
                </c:pt>
                <c:pt idx="2">
                  <c:v>0.46</c:v>
                </c:pt>
                <c:pt idx="3">
                  <c:v>0.496</c:v>
                </c:pt>
                <c:pt idx="4">
                  <c:v>0.53</c:v>
                </c:pt>
                <c:pt idx="5">
                  <c:v>0.57899999999999996</c:v>
                </c:pt>
                <c:pt idx="6">
                  <c:v>0.61</c:v>
                </c:pt>
                <c:pt idx="7">
                  <c:v>0.623</c:v>
                </c:pt>
                <c:pt idx="8">
                  <c:v>0.63</c:v>
                </c:pt>
                <c:pt idx="9">
                  <c:v>0.63400000000000001</c:v>
                </c:pt>
                <c:pt idx="10">
                  <c:v>0.63700000000000001</c:v>
                </c:pt>
                <c:pt idx="11">
                  <c:v>0.63800000000000001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B9-45FB-AD65-0190825D5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395712"/>
        <c:axId val="109773184"/>
      </c:scatterChart>
      <c:valAx>
        <c:axId val="10739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773184"/>
        <c:crosses val="autoZero"/>
        <c:crossBetween val="midCat"/>
      </c:valAx>
      <c:valAx>
        <c:axId val="109773184"/>
        <c:scaling>
          <c:orientation val="minMax"/>
          <c:min val="0.30000000000000004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073957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diamond"/>
            <c:size val="2"/>
          </c:marker>
          <c:xVal>
            <c:numRef>
              <c:f>rzeta_targetnu_dips_mid!$B$211:$B$222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rzeta_targetnu_dips_mid!$M$211:$M$222</c:f>
              <c:numCache>
                <c:formatCode>0.0000</c:formatCode>
                <c:ptCount val="12"/>
                <c:pt idx="0">
                  <c:v>0.32500000000000001</c:v>
                </c:pt>
                <c:pt idx="1">
                  <c:v>0.4</c:v>
                </c:pt>
                <c:pt idx="2">
                  <c:v>0.438</c:v>
                </c:pt>
                <c:pt idx="3">
                  <c:v>0.45700000000000002</c:v>
                </c:pt>
                <c:pt idx="4">
                  <c:v>0.48</c:v>
                </c:pt>
                <c:pt idx="5">
                  <c:v>0.52900000000000003</c:v>
                </c:pt>
                <c:pt idx="6">
                  <c:v>0.56000000000000005</c:v>
                </c:pt>
                <c:pt idx="7">
                  <c:v>0.57299999999999995</c:v>
                </c:pt>
                <c:pt idx="8">
                  <c:v>0.57999999999999996</c:v>
                </c:pt>
                <c:pt idx="9">
                  <c:v>0.58399999999999996</c:v>
                </c:pt>
                <c:pt idx="10">
                  <c:v>0.58699999999999997</c:v>
                </c:pt>
                <c:pt idx="11">
                  <c:v>0.58819999999999995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91-429B-A4C5-DD2860689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364928"/>
        <c:axId val="110363008"/>
      </c:scatterChart>
      <c:valAx>
        <c:axId val="11036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363008"/>
        <c:crosses val="autoZero"/>
        <c:crossBetween val="midCat"/>
      </c:valAx>
      <c:valAx>
        <c:axId val="110363008"/>
        <c:scaling>
          <c:orientation val="minMax"/>
          <c:min val="0.30000000000000004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103649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rzeta_targetnu_dips_mid!$H$230:$H$241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rzeta_targetnu_dips_mid!$M$230:$M$241</c:f>
              <c:numCache>
                <c:formatCode>0.0</c:formatCode>
                <c:ptCount val="12"/>
                <c:pt idx="0">
                  <c:v>1.0058567176405746</c:v>
                </c:pt>
                <c:pt idx="1">
                  <c:v>2.4759549972691066</c:v>
                </c:pt>
                <c:pt idx="2">
                  <c:v>4.0667560830145071</c:v>
                </c:pt>
                <c:pt idx="3">
                  <c:v>5.657557168759908</c:v>
                </c:pt>
                <c:pt idx="4">
                  <c:v>7.4278649918073194</c:v>
                </c:pt>
                <c:pt idx="5">
                  <c:v>16.372252419441967</c:v>
                </c:pt>
                <c:pt idx="6">
                  <c:v>34.663369961767501</c:v>
                </c:pt>
                <c:pt idx="7">
                  <c:v>53.202083003819922</c:v>
                </c:pt>
                <c:pt idx="8">
                  <c:v>71.8026949208041</c:v>
                </c:pt>
                <c:pt idx="9">
                  <c:v>90.372357400322372</c:v>
                </c:pt>
                <c:pt idx="10">
                  <c:v>109.00391875477241</c:v>
                </c:pt>
                <c:pt idx="11">
                  <c:v>127.43121382194772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F36-4030-A70C-F6C6D3AAE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941112"/>
        <c:axId val="533941432"/>
      </c:scatterChart>
      <c:valAx>
        <c:axId val="533941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941432"/>
        <c:crosses val="autoZero"/>
        <c:crossBetween val="midCat"/>
      </c:valAx>
      <c:valAx>
        <c:axId val="53394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941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diamond"/>
            <c:size val="2"/>
          </c:marker>
          <c:xVal>
            <c:numRef>
              <c:f>rzeta_targetnu_dips_mid!$B$211:$B$222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rzeta_targetnu_dips_mid!$M$267:$M$278</c:f>
              <c:numCache>
                <c:formatCode>0.00000</c:formatCode>
                <c:ptCount val="12"/>
                <c:pt idx="0">
                  <c:v>0.28999999999999998</c:v>
                </c:pt>
                <c:pt idx="1">
                  <c:v>0.36</c:v>
                </c:pt>
                <c:pt idx="2">
                  <c:v>0.4</c:v>
                </c:pt>
                <c:pt idx="3">
                  <c:v>0.435</c:v>
                </c:pt>
                <c:pt idx="4">
                  <c:v>0.45500000000000002</c:v>
                </c:pt>
                <c:pt idx="5">
                  <c:v>0.47899999999999998</c:v>
                </c:pt>
                <c:pt idx="6">
                  <c:v>0.51</c:v>
                </c:pt>
                <c:pt idx="7">
                  <c:v>0.52300000000000002</c:v>
                </c:pt>
                <c:pt idx="8">
                  <c:v>0.53</c:v>
                </c:pt>
                <c:pt idx="9">
                  <c:v>0.53400000000000003</c:v>
                </c:pt>
                <c:pt idx="10">
                  <c:v>0.53700000000000003</c:v>
                </c:pt>
                <c:pt idx="11">
                  <c:v>0.53800000000000003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D7-42D8-970C-FCDE98680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364928"/>
        <c:axId val="110363008"/>
      </c:scatterChart>
      <c:valAx>
        <c:axId val="11036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363008"/>
        <c:crosses val="autoZero"/>
        <c:crossBetween val="midCat"/>
      </c:valAx>
      <c:valAx>
        <c:axId val="110363008"/>
        <c:scaling>
          <c:orientation val="minMax"/>
          <c:min val="0.25"/>
        </c:scaling>
        <c:delete val="0"/>
        <c:axPos val="l"/>
        <c:majorGridlines/>
        <c:numFmt formatCode="0.00000" sourceLinked="1"/>
        <c:majorTickMark val="out"/>
        <c:minorTickMark val="none"/>
        <c:tickLblPos val="nextTo"/>
        <c:crossAx val="1103649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541071</xdr:colOff>
      <xdr:row>43</xdr:row>
      <xdr:rowOff>10055</xdr:rowOff>
    </xdr:from>
    <xdr:to>
      <xdr:col>32</xdr:col>
      <xdr:colOff>239921</xdr:colOff>
      <xdr:row>58</xdr:row>
      <xdr:rowOff>78635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1BBE5A-7FA5-4E7C-9B3F-43409C8B34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41011</xdr:colOff>
      <xdr:row>28</xdr:row>
      <xdr:rowOff>25399</xdr:rowOff>
    </xdr:from>
    <xdr:to>
      <xdr:col>30</xdr:col>
      <xdr:colOff>602986</xdr:colOff>
      <xdr:row>37</xdr:row>
      <xdr:rowOff>139699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BC032EA-C765-40F5-9F9C-209E042AC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31750</xdr:colOff>
      <xdr:row>17</xdr:row>
      <xdr:rowOff>128588</xdr:rowOff>
    </xdr:from>
    <xdr:to>
      <xdr:col>30</xdr:col>
      <xdr:colOff>593725</xdr:colOff>
      <xdr:row>27</xdr:row>
      <xdr:rowOff>52388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892086D-6133-4263-A898-6D5ADC81F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89294</xdr:colOff>
      <xdr:row>97</xdr:row>
      <xdr:rowOff>71438</xdr:rowOff>
    </xdr:from>
    <xdr:to>
      <xdr:col>34</xdr:col>
      <xdr:colOff>595312</xdr:colOff>
      <xdr:row>113</xdr:row>
      <xdr:rowOff>23814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87C5DAE-7508-4049-8B9D-5CDE80F77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291702</xdr:colOff>
      <xdr:row>86</xdr:row>
      <xdr:rowOff>69056</xdr:rowOff>
    </xdr:from>
    <xdr:to>
      <xdr:col>31</xdr:col>
      <xdr:colOff>273843</xdr:colOff>
      <xdr:row>96</xdr:row>
      <xdr:rowOff>23812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26F0E3A-F67F-461F-BA04-EDBE0B7C5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504031</xdr:colOff>
      <xdr:row>152</xdr:row>
      <xdr:rowOff>95513</xdr:rowOff>
    </xdr:from>
    <xdr:to>
      <xdr:col>33</xdr:col>
      <xdr:colOff>62838</xdr:colOff>
      <xdr:row>168</xdr:row>
      <xdr:rowOff>62176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9DDBD55-178F-4535-B58B-C7459DEC4D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609203</xdr:colOff>
      <xdr:row>207</xdr:row>
      <xdr:rowOff>162983</xdr:rowOff>
    </xdr:from>
    <xdr:to>
      <xdr:col>32</xdr:col>
      <xdr:colOff>523875</xdr:colOff>
      <xdr:row>222</xdr:row>
      <xdr:rowOff>48683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A3FE0C4-A139-4EB8-9968-526F97D1C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589360</xdr:colOff>
      <xdr:row>226</xdr:row>
      <xdr:rowOff>15478</xdr:rowOff>
    </xdr:from>
    <xdr:to>
      <xdr:col>33</xdr:col>
      <xdr:colOff>208360</xdr:colOff>
      <xdr:row>240</xdr:row>
      <xdr:rowOff>91678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5C99912-94D7-425F-9FC7-E1B9F1CA01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321469</xdr:colOff>
      <xdr:row>225</xdr:row>
      <xdr:rowOff>95250</xdr:rowOff>
    </xdr:from>
    <xdr:to>
      <xdr:col>19</xdr:col>
      <xdr:colOff>321469</xdr:colOff>
      <xdr:row>227</xdr:row>
      <xdr:rowOff>119062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861A5306-3DF8-457E-8CE0-9D4615B13B64}"/>
            </a:ext>
          </a:extLst>
        </xdr:cNvPr>
        <xdr:cNvCxnSpPr/>
      </xdr:nvCxnSpPr>
      <xdr:spPr>
        <a:xfrm>
          <a:off x="12246769" y="41671875"/>
          <a:ext cx="0" cy="423862"/>
        </a:xfrm>
        <a:prstGeom prst="straightConnector1">
          <a:avLst/>
        </a:prstGeom>
        <a:ln>
          <a:solidFill>
            <a:srgbClr val="00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357189</xdr:colOff>
      <xdr:row>171</xdr:row>
      <xdr:rowOff>59531</xdr:rowOff>
    </xdr:from>
    <xdr:to>
      <xdr:col>19</xdr:col>
      <xdr:colOff>357189</xdr:colOff>
      <xdr:row>173</xdr:row>
      <xdr:rowOff>95249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802004DA-12C9-4824-A22A-5C342050D619}"/>
            </a:ext>
          </a:extLst>
        </xdr:cNvPr>
        <xdr:cNvCxnSpPr/>
      </xdr:nvCxnSpPr>
      <xdr:spPr>
        <a:xfrm>
          <a:off x="12282489" y="31292006"/>
          <a:ext cx="0" cy="426243"/>
        </a:xfrm>
        <a:prstGeom prst="straightConnector1">
          <a:avLst/>
        </a:prstGeom>
        <a:ln>
          <a:solidFill>
            <a:srgbClr val="00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345281</xdr:colOff>
      <xdr:row>116</xdr:row>
      <xdr:rowOff>59530</xdr:rowOff>
    </xdr:from>
    <xdr:to>
      <xdr:col>19</xdr:col>
      <xdr:colOff>345281</xdr:colOff>
      <xdr:row>118</xdr:row>
      <xdr:rowOff>95248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7D85BB24-F16A-43EA-84FA-C4DE12CF2419}"/>
            </a:ext>
          </a:extLst>
        </xdr:cNvPr>
        <xdr:cNvCxnSpPr/>
      </xdr:nvCxnSpPr>
      <xdr:spPr>
        <a:xfrm>
          <a:off x="12270581" y="20776405"/>
          <a:ext cx="0" cy="416718"/>
        </a:xfrm>
        <a:prstGeom prst="straightConnector1">
          <a:avLst/>
        </a:prstGeom>
        <a:ln>
          <a:solidFill>
            <a:srgbClr val="00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345281</xdr:colOff>
      <xdr:row>61</xdr:row>
      <xdr:rowOff>59530</xdr:rowOff>
    </xdr:from>
    <xdr:to>
      <xdr:col>19</xdr:col>
      <xdr:colOff>345281</xdr:colOff>
      <xdr:row>62</xdr:row>
      <xdr:rowOff>166687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C84ADC6E-AB24-4E54-AF43-9A867C9B2425}"/>
            </a:ext>
          </a:extLst>
        </xdr:cNvPr>
        <xdr:cNvCxnSpPr/>
      </xdr:nvCxnSpPr>
      <xdr:spPr>
        <a:xfrm>
          <a:off x="12270581" y="10260805"/>
          <a:ext cx="0" cy="297657"/>
        </a:xfrm>
        <a:prstGeom prst="straightConnector1">
          <a:avLst/>
        </a:prstGeom>
        <a:ln>
          <a:solidFill>
            <a:srgbClr val="00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609203</xdr:colOff>
      <xdr:row>263</xdr:row>
      <xdr:rowOff>162983</xdr:rowOff>
    </xdr:from>
    <xdr:to>
      <xdr:col>32</xdr:col>
      <xdr:colOff>216297</xdr:colOff>
      <xdr:row>278</xdr:row>
      <xdr:rowOff>48683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F545621-A76C-4CFF-A1C5-0417DEA6B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589360</xdr:colOff>
      <xdr:row>282</xdr:row>
      <xdr:rowOff>15478</xdr:rowOff>
    </xdr:from>
    <xdr:to>
      <xdr:col>33</xdr:col>
      <xdr:colOff>208360</xdr:colOff>
      <xdr:row>296</xdr:row>
      <xdr:rowOff>91678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5B394C85-67D5-4F08-9C0B-79589E7BE7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321469</xdr:colOff>
      <xdr:row>281</xdr:row>
      <xdr:rowOff>95250</xdr:rowOff>
    </xdr:from>
    <xdr:to>
      <xdr:col>19</xdr:col>
      <xdr:colOff>321469</xdr:colOff>
      <xdr:row>283</xdr:row>
      <xdr:rowOff>119062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CD1DC000-E012-4B69-B688-9822BB27C4E6}"/>
            </a:ext>
          </a:extLst>
        </xdr:cNvPr>
        <xdr:cNvCxnSpPr/>
      </xdr:nvCxnSpPr>
      <xdr:spPr>
        <a:xfrm>
          <a:off x="12246769" y="52406550"/>
          <a:ext cx="0" cy="423862"/>
        </a:xfrm>
        <a:prstGeom prst="straightConnector1">
          <a:avLst/>
        </a:prstGeom>
        <a:ln>
          <a:solidFill>
            <a:srgbClr val="00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609203</xdr:colOff>
      <xdr:row>318</xdr:row>
      <xdr:rowOff>162983</xdr:rowOff>
    </xdr:from>
    <xdr:to>
      <xdr:col>32</xdr:col>
      <xdr:colOff>216297</xdr:colOff>
      <xdr:row>333</xdr:row>
      <xdr:rowOff>48683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C53874DE-2DBE-43BC-B02A-1FFD25EF8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25</xdr:col>
      <xdr:colOff>589360</xdr:colOff>
      <xdr:row>337</xdr:row>
      <xdr:rowOff>15478</xdr:rowOff>
    </xdr:from>
    <xdr:to>
      <xdr:col>33</xdr:col>
      <xdr:colOff>208360</xdr:colOff>
      <xdr:row>351</xdr:row>
      <xdr:rowOff>91678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B1F539A8-9674-4899-A454-BC6B6033E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19</xdr:col>
      <xdr:colOff>321469</xdr:colOff>
      <xdr:row>336</xdr:row>
      <xdr:rowOff>95250</xdr:rowOff>
    </xdr:from>
    <xdr:to>
      <xdr:col>19</xdr:col>
      <xdr:colOff>321469</xdr:colOff>
      <xdr:row>338</xdr:row>
      <xdr:rowOff>119062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9853EDF-8FC0-4AD4-B421-7AD7164E25F2}"/>
            </a:ext>
          </a:extLst>
        </xdr:cNvPr>
        <xdr:cNvCxnSpPr/>
      </xdr:nvCxnSpPr>
      <xdr:spPr>
        <a:xfrm>
          <a:off x="12246769" y="62950725"/>
          <a:ext cx="0" cy="423862"/>
        </a:xfrm>
        <a:prstGeom prst="straightConnector1">
          <a:avLst/>
        </a:prstGeom>
        <a:ln>
          <a:solidFill>
            <a:srgbClr val="00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541071</xdr:colOff>
      <xdr:row>35</xdr:row>
      <xdr:rowOff>10055</xdr:rowOff>
    </xdr:from>
    <xdr:to>
      <xdr:col>32</xdr:col>
      <xdr:colOff>239921</xdr:colOff>
      <xdr:row>50</xdr:row>
      <xdr:rowOff>78635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41011</xdr:colOff>
      <xdr:row>20</xdr:row>
      <xdr:rowOff>25399</xdr:rowOff>
    </xdr:from>
    <xdr:to>
      <xdr:col>30</xdr:col>
      <xdr:colOff>602986</xdr:colOff>
      <xdr:row>29</xdr:row>
      <xdr:rowOff>139699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31750</xdr:colOff>
      <xdr:row>9</xdr:row>
      <xdr:rowOff>128588</xdr:rowOff>
    </xdr:from>
    <xdr:to>
      <xdr:col>30</xdr:col>
      <xdr:colOff>593725</xdr:colOff>
      <xdr:row>19</xdr:row>
      <xdr:rowOff>52388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89294</xdr:colOff>
      <xdr:row>89</xdr:row>
      <xdr:rowOff>71438</xdr:rowOff>
    </xdr:from>
    <xdr:to>
      <xdr:col>34</xdr:col>
      <xdr:colOff>595312</xdr:colOff>
      <xdr:row>105</xdr:row>
      <xdr:rowOff>23814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291702</xdr:colOff>
      <xdr:row>78</xdr:row>
      <xdr:rowOff>69056</xdr:rowOff>
    </xdr:from>
    <xdr:to>
      <xdr:col>31</xdr:col>
      <xdr:colOff>273843</xdr:colOff>
      <xdr:row>88</xdr:row>
      <xdr:rowOff>23812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504031</xdr:colOff>
      <xdr:row>144</xdr:row>
      <xdr:rowOff>95513</xdr:rowOff>
    </xdr:from>
    <xdr:to>
      <xdr:col>33</xdr:col>
      <xdr:colOff>62838</xdr:colOff>
      <xdr:row>160</xdr:row>
      <xdr:rowOff>62176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609203</xdr:colOff>
      <xdr:row>199</xdr:row>
      <xdr:rowOff>162983</xdr:rowOff>
    </xdr:from>
    <xdr:to>
      <xdr:col>32</xdr:col>
      <xdr:colOff>523875</xdr:colOff>
      <xdr:row>214</xdr:row>
      <xdr:rowOff>48683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589360</xdr:colOff>
      <xdr:row>218</xdr:row>
      <xdr:rowOff>15478</xdr:rowOff>
    </xdr:from>
    <xdr:to>
      <xdr:col>33</xdr:col>
      <xdr:colOff>208360</xdr:colOff>
      <xdr:row>232</xdr:row>
      <xdr:rowOff>91678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EF07041-12BC-4C23-B16B-43CB904329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321469</xdr:colOff>
      <xdr:row>217</xdr:row>
      <xdr:rowOff>95250</xdr:rowOff>
    </xdr:from>
    <xdr:to>
      <xdr:col>19</xdr:col>
      <xdr:colOff>321469</xdr:colOff>
      <xdr:row>219</xdr:row>
      <xdr:rowOff>119062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4BB41E29-2CC7-4C33-B1E9-45F22676DF1B}"/>
            </a:ext>
          </a:extLst>
        </xdr:cNvPr>
        <xdr:cNvCxnSpPr/>
      </xdr:nvCxnSpPr>
      <xdr:spPr>
        <a:xfrm>
          <a:off x="12251532" y="36647438"/>
          <a:ext cx="0" cy="416718"/>
        </a:xfrm>
        <a:prstGeom prst="straightConnector1">
          <a:avLst/>
        </a:prstGeom>
        <a:ln>
          <a:solidFill>
            <a:srgbClr val="00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357189</xdr:colOff>
      <xdr:row>163</xdr:row>
      <xdr:rowOff>59531</xdr:rowOff>
    </xdr:from>
    <xdr:to>
      <xdr:col>19</xdr:col>
      <xdr:colOff>357189</xdr:colOff>
      <xdr:row>165</xdr:row>
      <xdr:rowOff>95249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9F6CBE36-4F6F-4CC2-8614-DFFA7132D23B}"/>
            </a:ext>
          </a:extLst>
        </xdr:cNvPr>
        <xdr:cNvCxnSpPr/>
      </xdr:nvCxnSpPr>
      <xdr:spPr>
        <a:xfrm>
          <a:off x="12287252" y="26658094"/>
          <a:ext cx="0" cy="416718"/>
        </a:xfrm>
        <a:prstGeom prst="straightConnector1">
          <a:avLst/>
        </a:prstGeom>
        <a:ln>
          <a:solidFill>
            <a:srgbClr val="00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345281</xdr:colOff>
      <xdr:row>108</xdr:row>
      <xdr:rowOff>59530</xdr:rowOff>
    </xdr:from>
    <xdr:to>
      <xdr:col>19</xdr:col>
      <xdr:colOff>345281</xdr:colOff>
      <xdr:row>110</xdr:row>
      <xdr:rowOff>95248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13EC8570-C9D5-49D3-B2C5-128287C05A39}"/>
            </a:ext>
          </a:extLst>
        </xdr:cNvPr>
        <xdr:cNvCxnSpPr/>
      </xdr:nvCxnSpPr>
      <xdr:spPr>
        <a:xfrm>
          <a:off x="12275344" y="16132968"/>
          <a:ext cx="0" cy="416718"/>
        </a:xfrm>
        <a:prstGeom prst="straightConnector1">
          <a:avLst/>
        </a:prstGeom>
        <a:ln>
          <a:solidFill>
            <a:srgbClr val="00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345281</xdr:colOff>
      <xdr:row>53</xdr:row>
      <xdr:rowOff>59530</xdr:rowOff>
    </xdr:from>
    <xdr:to>
      <xdr:col>19</xdr:col>
      <xdr:colOff>345281</xdr:colOff>
      <xdr:row>54</xdr:row>
      <xdr:rowOff>166687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6A66AA49-6F18-4AB9-89C0-6C6FE67C30BD}"/>
            </a:ext>
          </a:extLst>
        </xdr:cNvPr>
        <xdr:cNvCxnSpPr/>
      </xdr:nvCxnSpPr>
      <xdr:spPr>
        <a:xfrm>
          <a:off x="12275344" y="10203655"/>
          <a:ext cx="0" cy="297657"/>
        </a:xfrm>
        <a:prstGeom prst="straightConnector1">
          <a:avLst/>
        </a:prstGeom>
        <a:ln>
          <a:solidFill>
            <a:srgbClr val="00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609203</xdr:colOff>
      <xdr:row>255</xdr:row>
      <xdr:rowOff>162983</xdr:rowOff>
    </xdr:from>
    <xdr:to>
      <xdr:col>32</xdr:col>
      <xdr:colOff>216297</xdr:colOff>
      <xdr:row>270</xdr:row>
      <xdr:rowOff>48683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6AC3D477-FDCD-432C-AC6C-AADD5E07A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589360</xdr:colOff>
      <xdr:row>274</xdr:row>
      <xdr:rowOff>15478</xdr:rowOff>
    </xdr:from>
    <xdr:to>
      <xdr:col>33</xdr:col>
      <xdr:colOff>208360</xdr:colOff>
      <xdr:row>288</xdr:row>
      <xdr:rowOff>91678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CA2E88E3-870B-4664-993E-C67BC71F4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321469</xdr:colOff>
      <xdr:row>273</xdr:row>
      <xdr:rowOff>95250</xdr:rowOff>
    </xdr:from>
    <xdr:to>
      <xdr:col>19</xdr:col>
      <xdr:colOff>321469</xdr:colOff>
      <xdr:row>275</xdr:row>
      <xdr:rowOff>119062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D1980ACD-DE2E-4B62-B4AF-BECEE64F6FB4}"/>
            </a:ext>
          </a:extLst>
        </xdr:cNvPr>
        <xdr:cNvCxnSpPr/>
      </xdr:nvCxnSpPr>
      <xdr:spPr>
        <a:xfrm>
          <a:off x="12363790" y="41678679"/>
          <a:ext cx="0" cy="418419"/>
        </a:xfrm>
        <a:prstGeom prst="straightConnector1">
          <a:avLst/>
        </a:prstGeom>
        <a:ln>
          <a:solidFill>
            <a:srgbClr val="00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609203</xdr:colOff>
      <xdr:row>310</xdr:row>
      <xdr:rowOff>162983</xdr:rowOff>
    </xdr:from>
    <xdr:to>
      <xdr:col>32</xdr:col>
      <xdr:colOff>216297</xdr:colOff>
      <xdr:row>325</xdr:row>
      <xdr:rowOff>48683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FB97ED8C-D312-4362-96BE-7835BE9BA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25</xdr:col>
      <xdr:colOff>589360</xdr:colOff>
      <xdr:row>329</xdr:row>
      <xdr:rowOff>15478</xdr:rowOff>
    </xdr:from>
    <xdr:to>
      <xdr:col>33</xdr:col>
      <xdr:colOff>208360</xdr:colOff>
      <xdr:row>343</xdr:row>
      <xdr:rowOff>91678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99F0EE6B-ECD4-4EBB-A3C7-D4CF2ACCD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19</xdr:col>
      <xdr:colOff>321469</xdr:colOff>
      <xdr:row>328</xdr:row>
      <xdr:rowOff>95250</xdr:rowOff>
    </xdr:from>
    <xdr:to>
      <xdr:col>19</xdr:col>
      <xdr:colOff>321469</xdr:colOff>
      <xdr:row>330</xdr:row>
      <xdr:rowOff>119062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D40D7845-C54F-4F48-BE4D-CF49A95B8FA7}"/>
            </a:ext>
          </a:extLst>
        </xdr:cNvPr>
        <xdr:cNvCxnSpPr/>
      </xdr:nvCxnSpPr>
      <xdr:spPr>
        <a:xfrm>
          <a:off x="12251532" y="52447031"/>
          <a:ext cx="0" cy="428625"/>
        </a:xfrm>
        <a:prstGeom prst="straightConnector1">
          <a:avLst/>
        </a:prstGeom>
        <a:ln>
          <a:solidFill>
            <a:srgbClr val="00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285750</xdr:colOff>
      <xdr:row>213</xdr:row>
      <xdr:rowOff>42334</xdr:rowOff>
    </xdr:from>
    <xdr:to>
      <xdr:col>13</xdr:col>
      <xdr:colOff>285750</xdr:colOff>
      <xdr:row>217</xdr:row>
      <xdr:rowOff>179917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C6B758AE-0EB9-7AC7-C96C-DC3DA1097D37}"/>
            </a:ext>
          </a:extLst>
        </xdr:cNvPr>
        <xdr:cNvCxnSpPr/>
      </xdr:nvCxnSpPr>
      <xdr:spPr>
        <a:xfrm>
          <a:off x="8551333" y="2751667"/>
          <a:ext cx="0" cy="899583"/>
        </a:xfrm>
        <a:prstGeom prst="straightConnector1">
          <a:avLst/>
        </a:prstGeom>
        <a:ln>
          <a:solidFill>
            <a:srgbClr val="00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285750</xdr:colOff>
      <xdr:row>159</xdr:row>
      <xdr:rowOff>42334</xdr:rowOff>
    </xdr:from>
    <xdr:to>
      <xdr:col>13</xdr:col>
      <xdr:colOff>285750</xdr:colOff>
      <xdr:row>163</xdr:row>
      <xdr:rowOff>179917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BD1F05D-EE46-4A62-A57B-3EC12DADE8B7}"/>
            </a:ext>
          </a:extLst>
        </xdr:cNvPr>
        <xdr:cNvCxnSpPr/>
      </xdr:nvCxnSpPr>
      <xdr:spPr>
        <a:xfrm>
          <a:off x="8551333" y="36089167"/>
          <a:ext cx="0" cy="899583"/>
        </a:xfrm>
        <a:prstGeom prst="straightConnector1">
          <a:avLst/>
        </a:prstGeom>
        <a:ln>
          <a:solidFill>
            <a:srgbClr val="00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285750</xdr:colOff>
      <xdr:row>104</xdr:row>
      <xdr:rowOff>42334</xdr:rowOff>
    </xdr:from>
    <xdr:to>
      <xdr:col>13</xdr:col>
      <xdr:colOff>285750</xdr:colOff>
      <xdr:row>108</xdr:row>
      <xdr:rowOff>179917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5B6D5292-40FF-46B5-BF0C-7B7DDF98F756}"/>
            </a:ext>
          </a:extLst>
        </xdr:cNvPr>
        <xdr:cNvCxnSpPr/>
      </xdr:nvCxnSpPr>
      <xdr:spPr>
        <a:xfrm>
          <a:off x="8551333" y="25802167"/>
          <a:ext cx="0" cy="899583"/>
        </a:xfrm>
        <a:prstGeom prst="straightConnector1">
          <a:avLst/>
        </a:prstGeom>
        <a:ln>
          <a:solidFill>
            <a:srgbClr val="00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285750</xdr:colOff>
      <xdr:row>49</xdr:row>
      <xdr:rowOff>42334</xdr:rowOff>
    </xdr:from>
    <xdr:to>
      <xdr:col>13</xdr:col>
      <xdr:colOff>285750</xdr:colOff>
      <xdr:row>53</xdr:row>
      <xdr:rowOff>179917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7859146-5404-49C4-BE86-6204FF8E464F}"/>
            </a:ext>
          </a:extLst>
        </xdr:cNvPr>
        <xdr:cNvCxnSpPr/>
      </xdr:nvCxnSpPr>
      <xdr:spPr>
        <a:xfrm>
          <a:off x="8551333" y="19896667"/>
          <a:ext cx="0" cy="899583"/>
        </a:xfrm>
        <a:prstGeom prst="straightConnector1">
          <a:avLst/>
        </a:prstGeom>
        <a:ln>
          <a:solidFill>
            <a:srgbClr val="00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285750</xdr:colOff>
      <xdr:row>269</xdr:row>
      <xdr:rowOff>42334</xdr:rowOff>
    </xdr:from>
    <xdr:to>
      <xdr:col>13</xdr:col>
      <xdr:colOff>285750</xdr:colOff>
      <xdr:row>273</xdr:row>
      <xdr:rowOff>179917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A239D6E4-8C7A-4991-98BE-247D7412ECE9}"/>
            </a:ext>
          </a:extLst>
        </xdr:cNvPr>
        <xdr:cNvCxnSpPr/>
      </xdr:nvCxnSpPr>
      <xdr:spPr>
        <a:xfrm>
          <a:off x="8551333" y="40724667"/>
          <a:ext cx="0" cy="899583"/>
        </a:xfrm>
        <a:prstGeom prst="straightConnector1">
          <a:avLst/>
        </a:prstGeom>
        <a:ln>
          <a:solidFill>
            <a:srgbClr val="00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285750</xdr:colOff>
      <xdr:row>324</xdr:row>
      <xdr:rowOff>42334</xdr:rowOff>
    </xdr:from>
    <xdr:to>
      <xdr:col>13</xdr:col>
      <xdr:colOff>285750</xdr:colOff>
      <xdr:row>328</xdr:row>
      <xdr:rowOff>179917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140E503C-A604-4A89-B981-17B1ED5316DA}"/>
            </a:ext>
          </a:extLst>
        </xdr:cNvPr>
        <xdr:cNvCxnSpPr/>
      </xdr:nvCxnSpPr>
      <xdr:spPr>
        <a:xfrm>
          <a:off x="8551333" y="51413834"/>
          <a:ext cx="0" cy="899583"/>
        </a:xfrm>
        <a:prstGeom prst="straightConnector1">
          <a:avLst/>
        </a:prstGeom>
        <a:ln>
          <a:solidFill>
            <a:srgbClr val="00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541071</xdr:colOff>
      <xdr:row>32</xdr:row>
      <xdr:rowOff>10055</xdr:rowOff>
    </xdr:from>
    <xdr:to>
      <xdr:col>32</xdr:col>
      <xdr:colOff>239921</xdr:colOff>
      <xdr:row>47</xdr:row>
      <xdr:rowOff>78635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620AF3-F7D0-4FB6-BB29-0F4BDF072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41011</xdr:colOff>
      <xdr:row>20</xdr:row>
      <xdr:rowOff>25399</xdr:rowOff>
    </xdr:from>
    <xdr:to>
      <xdr:col>30</xdr:col>
      <xdr:colOff>602986</xdr:colOff>
      <xdr:row>29</xdr:row>
      <xdr:rowOff>139699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DC745F-520A-40A3-8B82-C079AAB4A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31750</xdr:colOff>
      <xdr:row>9</xdr:row>
      <xdr:rowOff>128588</xdr:rowOff>
    </xdr:from>
    <xdr:to>
      <xdr:col>30</xdr:col>
      <xdr:colOff>593725</xdr:colOff>
      <xdr:row>19</xdr:row>
      <xdr:rowOff>52388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779934-62DF-42CD-B793-42458E300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315514</xdr:colOff>
      <xdr:row>64</xdr:row>
      <xdr:rowOff>142874</xdr:rowOff>
    </xdr:from>
    <xdr:to>
      <xdr:col>33</xdr:col>
      <xdr:colOff>202407</xdr:colOff>
      <xdr:row>80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BCC9070-2743-4485-BDBA-3B7033E73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386952</xdr:colOff>
      <xdr:row>49</xdr:row>
      <xdr:rowOff>116681</xdr:rowOff>
    </xdr:from>
    <xdr:to>
      <xdr:col>31</xdr:col>
      <xdr:colOff>369093</xdr:colOff>
      <xdr:row>59</xdr:row>
      <xdr:rowOff>71437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F6FCC7B-495D-4B55-879F-83280C1CB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226218</xdr:colOff>
      <xdr:row>117</xdr:row>
      <xdr:rowOff>104773</xdr:rowOff>
    </xdr:from>
    <xdr:to>
      <xdr:col>27</xdr:col>
      <xdr:colOff>160734</xdr:colOff>
      <xdr:row>133</xdr:row>
      <xdr:rowOff>71436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DE7EB3A-2A71-43F3-B51B-3F910FB8EB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279797</xdr:colOff>
      <xdr:row>169</xdr:row>
      <xdr:rowOff>176212</xdr:rowOff>
    </xdr:from>
    <xdr:to>
      <xdr:col>26</xdr:col>
      <xdr:colOff>267891</xdr:colOff>
      <xdr:row>184</xdr:row>
      <xdr:rowOff>61912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B7735E9-E5BD-458B-B119-9FE0C0D7D4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577453</xdr:colOff>
      <xdr:row>204</xdr:row>
      <xdr:rowOff>182165</xdr:rowOff>
    </xdr:from>
    <xdr:to>
      <xdr:col>11</xdr:col>
      <xdr:colOff>196453</xdr:colOff>
      <xdr:row>219</xdr:row>
      <xdr:rowOff>67865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D710606-DFD1-4576-B496-6AA6B02CA8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285750</xdr:colOff>
      <xdr:row>14</xdr:row>
      <xdr:rowOff>42334</xdr:rowOff>
    </xdr:from>
    <xdr:to>
      <xdr:col>13</xdr:col>
      <xdr:colOff>285750</xdr:colOff>
      <xdr:row>18</xdr:row>
      <xdr:rowOff>179917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1D93B70D-0407-421E-9926-1316EB404F13}"/>
            </a:ext>
          </a:extLst>
        </xdr:cNvPr>
        <xdr:cNvCxnSpPr/>
      </xdr:nvCxnSpPr>
      <xdr:spPr>
        <a:xfrm>
          <a:off x="8496300" y="2747434"/>
          <a:ext cx="0" cy="899583"/>
        </a:xfrm>
        <a:prstGeom prst="straightConnector1">
          <a:avLst/>
        </a:prstGeom>
        <a:ln>
          <a:solidFill>
            <a:srgbClr val="00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71440</xdr:colOff>
      <xdr:row>11</xdr:row>
      <xdr:rowOff>144993</xdr:rowOff>
    </xdr:from>
    <xdr:to>
      <xdr:col>4</xdr:col>
      <xdr:colOff>515940</xdr:colOff>
      <xdr:row>18</xdr:row>
      <xdr:rowOff>183093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A6B57-E287-4C62-97D7-4012A0CAD59B}">
  <sheetPr transitionEvaluation="1" transitionEntry="1"/>
  <dimension ref="B2:AF55"/>
  <sheetViews>
    <sheetView showGridLines="0" zoomScale="90" zoomScaleNormal="90" workbookViewId="0"/>
  </sheetViews>
  <sheetFormatPr defaultRowHeight="15" x14ac:dyDescent="0.25"/>
  <cols>
    <col min="1" max="1" width="5.7109375" customWidth="1"/>
    <col min="2" max="4" width="7.7109375" customWidth="1"/>
    <col min="5" max="5" width="2.7109375" customWidth="1"/>
    <col min="6" max="6" width="8.5703125" customWidth="1"/>
    <col min="7" max="7" width="7.7109375" customWidth="1"/>
    <col min="8" max="8" width="3" customWidth="1"/>
    <col min="9" max="10" width="7.7109375" customWidth="1"/>
    <col min="11" max="11" width="2.7109375" customWidth="1"/>
    <col min="12" max="13" width="7.7109375" customWidth="1"/>
    <col min="14" max="14" width="2.7109375" customWidth="1"/>
    <col min="15" max="15" width="8.5703125" customWidth="1"/>
    <col min="16" max="16" width="7.7109375" customWidth="1"/>
    <col min="17" max="17" width="2.7109375" customWidth="1"/>
    <col min="18" max="19" width="7.7109375" customWidth="1"/>
    <col min="20" max="20" width="8.28515625" customWidth="1"/>
    <col min="24" max="24" width="5.5703125" customWidth="1"/>
    <col min="27" max="27" width="7.5703125" customWidth="1"/>
    <col min="30" max="30" width="5.42578125" customWidth="1"/>
  </cols>
  <sheetData>
    <row r="2" spans="2:27" x14ac:dyDescent="0.25">
      <c r="B2" s="20" t="s">
        <v>211</v>
      </c>
    </row>
    <row r="3" spans="2:27" x14ac:dyDescent="0.25">
      <c r="B3" s="20" t="s">
        <v>212</v>
      </c>
    </row>
    <row r="5" spans="2:27" x14ac:dyDescent="0.25">
      <c r="B5" s="20" t="s">
        <v>209</v>
      </c>
    </row>
    <row r="6" spans="2:27" x14ac:dyDescent="0.25">
      <c r="B6" s="20" t="s">
        <v>208</v>
      </c>
    </row>
    <row r="7" spans="2:27" x14ac:dyDescent="0.25">
      <c r="B7" s="20" t="s">
        <v>213</v>
      </c>
    </row>
    <row r="8" spans="2:27" x14ac:dyDescent="0.25">
      <c r="B8" s="20" t="s">
        <v>210</v>
      </c>
      <c r="L8">
        <f>7.7+2.5</f>
        <v>10.199999999999999</v>
      </c>
    </row>
    <row r="9" spans="2:27" x14ac:dyDescent="0.25">
      <c r="B9" s="20" t="s">
        <v>214</v>
      </c>
      <c r="L9">
        <f>22.5+2.5</f>
        <v>25</v>
      </c>
      <c r="M9">
        <f>22.5/25</f>
        <v>0.9</v>
      </c>
    </row>
    <row r="10" spans="2:27" x14ac:dyDescent="0.25">
      <c r="B10" s="20"/>
    </row>
    <row r="12" spans="2:27" x14ac:dyDescent="0.25">
      <c r="B12" s="174" t="s">
        <v>215</v>
      </c>
    </row>
    <row r="13" spans="2:27" x14ac:dyDescent="0.25">
      <c r="F13" s="238" t="s">
        <v>216</v>
      </c>
      <c r="G13" s="239"/>
      <c r="O13" s="238" t="s">
        <v>216</v>
      </c>
      <c r="P13" s="239"/>
    </row>
    <row r="14" spans="2:27" x14ac:dyDescent="0.25">
      <c r="C14" s="7" t="s">
        <v>188</v>
      </c>
      <c r="D14" s="7"/>
      <c r="F14" s="228" t="s">
        <v>189</v>
      </c>
      <c r="G14" s="229"/>
      <c r="I14" s="7" t="s">
        <v>190</v>
      </c>
      <c r="J14" s="7"/>
      <c r="L14" s="7" t="s">
        <v>191</v>
      </c>
      <c r="M14" s="7"/>
      <c r="O14" s="228" t="s">
        <v>192</v>
      </c>
      <c r="P14" s="229"/>
      <c r="R14" s="7" t="s">
        <v>193</v>
      </c>
      <c r="T14" s="7" t="s">
        <v>194</v>
      </c>
      <c r="V14" s="115">
        <v>0.7</v>
      </c>
      <c r="W14" s="237">
        <v>22.5</v>
      </c>
      <c r="Y14" s="115">
        <v>0.7</v>
      </c>
      <c r="Z14">
        <v>22.5</v>
      </c>
    </row>
    <row r="15" spans="2:27" x14ac:dyDescent="0.25">
      <c r="B15" s="225" t="s">
        <v>9</v>
      </c>
      <c r="C15" s="225" t="s">
        <v>195</v>
      </c>
      <c r="D15" s="225" t="s">
        <v>196</v>
      </c>
      <c r="F15" s="230" t="s">
        <v>195</v>
      </c>
      <c r="G15" s="231" t="s">
        <v>196</v>
      </c>
      <c r="I15" s="225" t="s">
        <v>195</v>
      </c>
      <c r="J15" s="225" t="s">
        <v>196</v>
      </c>
      <c r="L15" s="225" t="s">
        <v>195</v>
      </c>
      <c r="M15" s="225" t="s">
        <v>196</v>
      </c>
      <c r="O15" s="230" t="s">
        <v>195</v>
      </c>
      <c r="P15" s="231" t="s">
        <v>196</v>
      </c>
      <c r="R15" s="225" t="s">
        <v>195</v>
      </c>
      <c r="S15" s="225" t="s">
        <v>196</v>
      </c>
      <c r="V15" s="115">
        <v>0.7</v>
      </c>
      <c r="W15">
        <v>21.2</v>
      </c>
      <c r="Y15" s="115">
        <v>0.65</v>
      </c>
      <c r="Z15">
        <v>21.2</v>
      </c>
      <c r="AA15" s="236">
        <f>Z15/Z14</f>
        <v>0.94222222222222218</v>
      </c>
    </row>
    <row r="16" spans="2:27" x14ac:dyDescent="0.25">
      <c r="B16" s="1">
        <v>3</v>
      </c>
      <c r="C16" s="114">
        <v>-9</v>
      </c>
      <c r="D16" s="226">
        <v>0.97</v>
      </c>
      <c r="F16" s="232">
        <v>-7.7</v>
      </c>
      <c r="G16" s="233">
        <v>0.83</v>
      </c>
      <c r="I16" s="114">
        <v>-7.4</v>
      </c>
      <c r="J16" s="226">
        <v>0.79</v>
      </c>
      <c r="L16" s="114">
        <v>-0.7</v>
      </c>
      <c r="M16" s="226">
        <v>0.75</v>
      </c>
      <c r="O16" s="232">
        <v>-6.6</v>
      </c>
      <c r="P16" s="233">
        <v>0.71</v>
      </c>
      <c r="R16" s="114">
        <v>-6.2</v>
      </c>
      <c r="S16" s="226">
        <v>0.67</v>
      </c>
      <c r="T16" s="227">
        <f>R16/F16</f>
        <v>0.80519480519480524</v>
      </c>
      <c r="V16" s="115">
        <v>0.65</v>
      </c>
      <c r="W16" s="237">
        <v>21.2</v>
      </c>
      <c r="Y16" s="115">
        <v>0.6</v>
      </c>
      <c r="Z16">
        <v>20</v>
      </c>
      <c r="AA16" s="236">
        <f>Z16/Z15</f>
        <v>0.94339622641509435</v>
      </c>
    </row>
    <row r="17" spans="2:27" x14ac:dyDescent="0.25">
      <c r="B17" s="1">
        <v>10</v>
      </c>
      <c r="C17" s="114">
        <v>-24.2</v>
      </c>
      <c r="D17" s="226">
        <v>0.78</v>
      </c>
      <c r="F17" s="232">
        <v>-22.5</v>
      </c>
      <c r="G17" s="233">
        <v>0.73</v>
      </c>
      <c r="I17" s="114">
        <v>-22.1</v>
      </c>
      <c r="J17" s="226">
        <v>0.71</v>
      </c>
      <c r="L17" s="114">
        <v>-21.7</v>
      </c>
      <c r="M17" s="226">
        <v>0.7</v>
      </c>
      <c r="O17" s="232">
        <v>-21.2</v>
      </c>
      <c r="P17" s="233">
        <v>0.69</v>
      </c>
      <c r="R17" s="114">
        <v>-20.8</v>
      </c>
      <c r="S17" s="226">
        <v>0.67</v>
      </c>
      <c r="T17" s="227">
        <f>R17/F17</f>
        <v>0.92444444444444451</v>
      </c>
      <c r="V17" s="115">
        <v>0.65</v>
      </c>
      <c r="W17">
        <v>20.100000000000001</v>
      </c>
      <c r="Y17" s="115">
        <v>0.55000000000000004</v>
      </c>
      <c r="Z17">
        <v>18.8</v>
      </c>
      <c r="AA17" s="236">
        <f t="shared" ref="AA17:AA18" si="0">Z17/Z16</f>
        <v>0.94000000000000006</v>
      </c>
    </row>
    <row r="18" spans="2:27" x14ac:dyDescent="0.25">
      <c r="B18" s="1">
        <v>40</v>
      </c>
      <c r="C18" s="114">
        <v>-89.2</v>
      </c>
      <c r="D18" s="226">
        <v>0.72</v>
      </c>
      <c r="F18" s="232">
        <v>-87.1</v>
      </c>
      <c r="G18" s="233">
        <v>0.7</v>
      </c>
      <c r="I18" s="114">
        <v>-86.9</v>
      </c>
      <c r="J18" s="226">
        <v>0.7</v>
      </c>
      <c r="L18" s="114">
        <v>-86.7</v>
      </c>
      <c r="M18" s="226">
        <v>0.7</v>
      </c>
      <c r="O18" s="232">
        <v>-86.5</v>
      </c>
      <c r="P18" s="233">
        <v>0.7</v>
      </c>
      <c r="R18" s="114">
        <v>-86.2</v>
      </c>
      <c r="S18" s="226">
        <v>0.7</v>
      </c>
      <c r="V18" s="115">
        <v>0.6</v>
      </c>
      <c r="W18" s="237">
        <v>20</v>
      </c>
      <c r="Y18" s="115">
        <v>0.5</v>
      </c>
      <c r="Z18">
        <v>17.600000000000001</v>
      </c>
      <c r="AA18" s="236">
        <f t="shared" si="0"/>
        <v>0.93617021276595747</v>
      </c>
    </row>
    <row r="19" spans="2:27" x14ac:dyDescent="0.25">
      <c r="B19" s="1">
        <v>70</v>
      </c>
      <c r="C19" s="114">
        <v>-154.19999999999999</v>
      </c>
      <c r="D19" s="226">
        <v>0.71</v>
      </c>
      <c r="F19" s="113">
        <v>-151.80000000000001</v>
      </c>
      <c r="G19" s="234">
        <v>0.7</v>
      </c>
      <c r="I19" s="114">
        <v>-151.80000000000001</v>
      </c>
      <c r="J19" s="226">
        <v>0.7</v>
      </c>
      <c r="L19" s="114">
        <v>-151.80000000000001</v>
      </c>
      <c r="M19" s="226">
        <v>0.7</v>
      </c>
      <c r="O19" s="113">
        <v>-151.80000000000001</v>
      </c>
      <c r="P19" s="234">
        <v>0.7</v>
      </c>
      <c r="R19" s="114">
        <v>-151.80000000000001</v>
      </c>
      <c r="S19" s="226">
        <v>0.7</v>
      </c>
      <c r="V19" s="115">
        <v>0.6</v>
      </c>
      <c r="W19">
        <v>18.899999999999999</v>
      </c>
      <c r="Y19" s="115"/>
      <c r="AA19" s="236"/>
    </row>
    <row r="20" spans="2:27" x14ac:dyDescent="0.25">
      <c r="B20" s="1"/>
      <c r="C20" s="114"/>
      <c r="D20" s="226"/>
      <c r="F20" s="114"/>
      <c r="G20" s="226"/>
      <c r="I20" s="114"/>
      <c r="J20" s="226"/>
      <c r="L20" s="114"/>
      <c r="M20" s="226"/>
      <c r="O20" s="114"/>
      <c r="P20" s="226"/>
      <c r="R20" s="114"/>
      <c r="S20" s="226"/>
      <c r="V20" s="115">
        <v>0.55000000000000004</v>
      </c>
      <c r="W20" s="237">
        <v>18.8</v>
      </c>
      <c r="Y20" s="115"/>
      <c r="AA20" s="236"/>
    </row>
    <row r="21" spans="2:27" x14ac:dyDescent="0.25">
      <c r="V21" s="115">
        <v>0.55000000000000004</v>
      </c>
      <c r="W21">
        <v>17.7</v>
      </c>
    </row>
    <row r="22" spans="2:27" x14ac:dyDescent="0.25">
      <c r="F22" s="238" t="s">
        <v>216</v>
      </c>
      <c r="G22" s="239"/>
      <c r="O22" s="238" t="s">
        <v>216</v>
      </c>
      <c r="P22" s="239"/>
      <c r="V22" s="115">
        <v>0.5</v>
      </c>
      <c r="W22" s="237">
        <v>17.600000000000001</v>
      </c>
    </row>
    <row r="23" spans="2:27" x14ac:dyDescent="0.25">
      <c r="C23" s="7" t="s">
        <v>197</v>
      </c>
      <c r="D23" s="7"/>
      <c r="F23" s="228" t="s">
        <v>165</v>
      </c>
      <c r="G23" s="229"/>
      <c r="I23" s="7" t="s">
        <v>153</v>
      </c>
      <c r="J23" s="7"/>
      <c r="L23" s="7" t="s">
        <v>198</v>
      </c>
      <c r="M23" s="7"/>
      <c r="O23" s="228" t="s">
        <v>151</v>
      </c>
      <c r="P23" s="229"/>
      <c r="R23" s="7" t="s">
        <v>199</v>
      </c>
      <c r="V23" s="115">
        <v>0.5</v>
      </c>
      <c r="W23">
        <v>16.8</v>
      </c>
    </row>
    <row r="24" spans="2:27" x14ac:dyDescent="0.25">
      <c r="B24" s="225" t="s">
        <v>9</v>
      </c>
      <c r="C24" s="225" t="s">
        <v>195</v>
      </c>
      <c r="D24" s="225" t="s">
        <v>196</v>
      </c>
      <c r="F24" s="230" t="s">
        <v>195</v>
      </c>
      <c r="G24" s="231" t="s">
        <v>196</v>
      </c>
      <c r="I24" s="225" t="s">
        <v>195</v>
      </c>
      <c r="J24" s="225" t="s">
        <v>196</v>
      </c>
      <c r="L24" s="225" t="s">
        <v>195</v>
      </c>
      <c r="M24" s="225" t="s">
        <v>196</v>
      </c>
      <c r="O24" s="230" t="s">
        <v>195</v>
      </c>
      <c r="P24" s="231" t="s">
        <v>196</v>
      </c>
    </row>
    <row r="25" spans="2:27" x14ac:dyDescent="0.25">
      <c r="B25" s="1">
        <v>3</v>
      </c>
      <c r="C25" s="114">
        <v>-8.5</v>
      </c>
      <c r="D25" s="226">
        <v>0.92</v>
      </c>
      <c r="F25" s="232">
        <v>-7.4</v>
      </c>
      <c r="G25" s="233">
        <v>0.8</v>
      </c>
      <c r="I25" s="114">
        <v>-7.1</v>
      </c>
      <c r="J25" s="226">
        <v>0.76</v>
      </c>
      <c r="L25" s="114">
        <v>-6.8</v>
      </c>
      <c r="M25" s="226">
        <v>0.73</v>
      </c>
      <c r="O25" s="232">
        <v>-6.4</v>
      </c>
      <c r="P25" s="233">
        <v>0.69</v>
      </c>
      <c r="R25" s="227">
        <f>O25/C25</f>
        <v>0.75294117647058822</v>
      </c>
    </row>
    <row r="26" spans="2:27" x14ac:dyDescent="0.25">
      <c r="B26" s="1">
        <v>10</v>
      </c>
      <c r="C26" s="114">
        <v>-22.6</v>
      </c>
      <c r="D26" s="226">
        <v>0.73</v>
      </c>
      <c r="F26" s="232">
        <v>-21.2</v>
      </c>
      <c r="G26" s="233">
        <v>0.68</v>
      </c>
      <c r="I26" s="114">
        <v>-20.8</v>
      </c>
      <c r="J26" s="226">
        <v>0.67</v>
      </c>
      <c r="L26" s="114">
        <v>-20.399999999999999</v>
      </c>
      <c r="M26" s="226">
        <v>0.66</v>
      </c>
      <c r="O26" s="232">
        <v>-20.100000000000001</v>
      </c>
      <c r="P26" s="233">
        <v>0.65</v>
      </c>
      <c r="R26" s="227">
        <f>O26/C26</f>
        <v>0.88938053097345138</v>
      </c>
    </row>
    <row r="27" spans="2:27" x14ac:dyDescent="0.25">
      <c r="B27" s="1">
        <v>40</v>
      </c>
      <c r="C27" s="114">
        <v>-83</v>
      </c>
      <c r="D27" s="226">
        <v>0.67</v>
      </c>
      <c r="F27" s="232">
        <v>-80.900000000000006</v>
      </c>
      <c r="G27" s="233">
        <v>0.65</v>
      </c>
      <c r="I27" s="114">
        <v>-80.7</v>
      </c>
      <c r="J27" s="226">
        <v>0.65</v>
      </c>
      <c r="L27" s="114">
        <v>-80.5</v>
      </c>
      <c r="M27" s="226">
        <v>0.65</v>
      </c>
      <c r="O27" s="232">
        <v>-80.3</v>
      </c>
      <c r="P27" s="233">
        <v>0.65</v>
      </c>
    </row>
    <row r="28" spans="2:27" x14ac:dyDescent="0.25">
      <c r="B28" s="1">
        <v>70</v>
      </c>
      <c r="C28" s="114">
        <v>-143.30000000000001</v>
      </c>
      <c r="D28" s="226">
        <v>0.67</v>
      </c>
      <c r="F28" s="113">
        <v>-140.69999999999999</v>
      </c>
      <c r="G28" s="234">
        <v>0.65</v>
      </c>
      <c r="I28" s="114">
        <v>-140.69999999999999</v>
      </c>
      <c r="J28" s="226">
        <v>0.65</v>
      </c>
      <c r="L28" s="114">
        <v>-140.69999999999999</v>
      </c>
      <c r="M28" s="226">
        <v>0.65</v>
      </c>
      <c r="O28" s="113">
        <v>-140.69999999999999</v>
      </c>
      <c r="P28" s="234">
        <v>0.65</v>
      </c>
    </row>
    <row r="29" spans="2:27" x14ac:dyDescent="0.25">
      <c r="B29" s="1"/>
      <c r="C29" s="114"/>
      <c r="D29" s="226"/>
      <c r="F29" s="114"/>
      <c r="G29" s="226"/>
      <c r="I29" s="114"/>
      <c r="J29" s="226"/>
      <c r="L29" s="114"/>
      <c r="M29" s="226"/>
      <c r="O29" s="114"/>
      <c r="P29" s="226"/>
    </row>
    <row r="31" spans="2:27" x14ac:dyDescent="0.25">
      <c r="F31" s="238" t="s">
        <v>216</v>
      </c>
      <c r="G31" s="239"/>
      <c r="O31" s="238" t="s">
        <v>216</v>
      </c>
      <c r="P31" s="239"/>
    </row>
    <row r="32" spans="2:27" x14ac:dyDescent="0.25">
      <c r="C32" s="7" t="s">
        <v>200</v>
      </c>
      <c r="D32" s="7"/>
      <c r="F32" s="228" t="s">
        <v>201</v>
      </c>
      <c r="G32" s="229"/>
      <c r="I32" s="7" t="s">
        <v>174</v>
      </c>
      <c r="J32" s="7"/>
      <c r="L32" s="7" t="s">
        <v>164</v>
      </c>
      <c r="M32" s="7"/>
      <c r="O32" s="228" t="s">
        <v>163</v>
      </c>
      <c r="P32" s="229"/>
      <c r="R32" s="7" t="s">
        <v>202</v>
      </c>
    </row>
    <row r="33" spans="2:32" x14ac:dyDescent="0.25">
      <c r="B33" s="225" t="s">
        <v>9</v>
      </c>
      <c r="C33" s="225" t="s">
        <v>195</v>
      </c>
      <c r="D33" s="225" t="s">
        <v>196</v>
      </c>
      <c r="F33" s="230" t="s">
        <v>195</v>
      </c>
      <c r="G33" s="231" t="s">
        <v>196</v>
      </c>
      <c r="I33" s="225" t="s">
        <v>195</v>
      </c>
      <c r="J33" s="225" t="s">
        <v>196</v>
      </c>
      <c r="L33" s="225" t="s">
        <v>195</v>
      </c>
      <c r="M33" s="225" t="s">
        <v>196</v>
      </c>
      <c r="O33" s="230" t="s">
        <v>195</v>
      </c>
      <c r="P33" s="231" t="s">
        <v>196</v>
      </c>
    </row>
    <row r="34" spans="2:32" x14ac:dyDescent="0.25">
      <c r="B34" s="1">
        <v>3</v>
      </c>
      <c r="C34" s="114">
        <v>-8.1</v>
      </c>
      <c r="D34" s="226">
        <v>0.87</v>
      </c>
      <c r="F34" s="232">
        <v>-7.4</v>
      </c>
      <c r="G34" s="233">
        <v>0.8</v>
      </c>
      <c r="I34" s="114">
        <v>-7.1</v>
      </c>
      <c r="J34" s="226">
        <v>0.77</v>
      </c>
      <c r="L34" s="114">
        <v>-6.8</v>
      </c>
      <c r="M34" s="226">
        <v>0.74</v>
      </c>
      <c r="O34" s="232">
        <v>-6.6</v>
      </c>
      <c r="P34" s="233">
        <v>0.71</v>
      </c>
      <c r="R34" s="227">
        <f>O34/C34</f>
        <v>0.81481481481481477</v>
      </c>
    </row>
    <row r="35" spans="2:32" x14ac:dyDescent="0.25">
      <c r="B35" s="1">
        <v>10</v>
      </c>
      <c r="C35" s="114">
        <v>-21.1</v>
      </c>
      <c r="D35" s="226">
        <v>0.68</v>
      </c>
      <c r="F35" s="232">
        <v>-20</v>
      </c>
      <c r="G35" s="233">
        <v>0.65</v>
      </c>
      <c r="I35" s="114">
        <v>-19.600000000000001</v>
      </c>
      <c r="J35" s="226">
        <v>0.63</v>
      </c>
      <c r="L35" s="114">
        <v>-19.2</v>
      </c>
      <c r="M35" s="226">
        <v>0.62</v>
      </c>
      <c r="O35" s="232">
        <v>-18.899999999999999</v>
      </c>
      <c r="P35" s="233">
        <v>0.61</v>
      </c>
      <c r="R35" s="227">
        <f>O35/C35</f>
        <v>0.89573459715639803</v>
      </c>
    </row>
    <row r="36" spans="2:32" x14ac:dyDescent="0.25">
      <c r="B36" s="1">
        <v>40</v>
      </c>
      <c r="C36" s="114">
        <v>-76.8</v>
      </c>
      <c r="D36" s="226">
        <v>0.62</v>
      </c>
      <c r="F36" s="232">
        <v>-74.900000000000006</v>
      </c>
      <c r="G36" s="233">
        <v>0.61</v>
      </c>
      <c r="I36" s="114">
        <v>-74.7</v>
      </c>
      <c r="J36" s="226">
        <v>0.6</v>
      </c>
      <c r="L36" s="114">
        <v>-74.5</v>
      </c>
      <c r="M36" s="226">
        <v>0.6</v>
      </c>
      <c r="O36" s="232">
        <v>-74.3</v>
      </c>
      <c r="P36" s="233">
        <v>0.6</v>
      </c>
    </row>
    <row r="37" spans="2:32" x14ac:dyDescent="0.25">
      <c r="B37" s="1">
        <v>70</v>
      </c>
      <c r="C37" s="114">
        <v>-132.5</v>
      </c>
      <c r="D37" s="226">
        <v>0.61</v>
      </c>
      <c r="F37" s="113">
        <v>-129.9</v>
      </c>
      <c r="G37" s="234">
        <v>0.6</v>
      </c>
      <c r="I37" s="114">
        <v>-129.9</v>
      </c>
      <c r="J37" s="226">
        <v>0.6</v>
      </c>
      <c r="L37" s="114">
        <v>-129.9</v>
      </c>
      <c r="M37" s="226">
        <v>0.6</v>
      </c>
      <c r="O37" s="113">
        <v>-129.9</v>
      </c>
      <c r="P37" s="234">
        <v>0.6</v>
      </c>
    </row>
    <row r="38" spans="2:32" x14ac:dyDescent="0.25">
      <c r="B38" s="1"/>
      <c r="C38" s="114"/>
      <c r="D38" s="226"/>
      <c r="F38" s="114"/>
      <c r="G38" s="226"/>
      <c r="I38" s="114"/>
      <c r="J38" s="226"/>
      <c r="L38" s="114"/>
      <c r="M38" s="226"/>
      <c r="O38" s="114"/>
      <c r="P38" s="226"/>
    </row>
    <row r="39" spans="2:32" x14ac:dyDescent="0.25">
      <c r="U39" s="20" t="s">
        <v>217</v>
      </c>
    </row>
    <row r="40" spans="2:32" x14ac:dyDescent="0.25">
      <c r="F40" s="238" t="s">
        <v>216</v>
      </c>
      <c r="G40" s="239"/>
      <c r="O40" s="238" t="s">
        <v>216</v>
      </c>
      <c r="P40" s="239"/>
      <c r="AF40" t="s">
        <v>226</v>
      </c>
    </row>
    <row r="41" spans="2:32" x14ac:dyDescent="0.25">
      <c r="C41" s="7" t="s">
        <v>203</v>
      </c>
      <c r="D41" s="7"/>
      <c r="F41" s="228" t="s">
        <v>177</v>
      </c>
      <c r="G41" s="229"/>
      <c r="I41" s="7" t="s">
        <v>176</v>
      </c>
      <c r="J41" s="7"/>
      <c r="L41" s="7" t="s">
        <v>167</v>
      </c>
      <c r="M41" s="7"/>
      <c r="O41" s="228" t="s">
        <v>166</v>
      </c>
      <c r="P41" s="229"/>
      <c r="R41" s="7" t="s">
        <v>204</v>
      </c>
      <c r="V41" s="20" t="s">
        <v>222</v>
      </c>
      <c r="Y41" s="20" t="s">
        <v>222</v>
      </c>
      <c r="AB41" s="20" t="s">
        <v>225</v>
      </c>
      <c r="AE41" s="20" t="s">
        <v>225</v>
      </c>
    </row>
    <row r="42" spans="2:32" x14ac:dyDescent="0.25">
      <c r="B42" s="225" t="s">
        <v>9</v>
      </c>
      <c r="C42" s="225" t="s">
        <v>195</v>
      </c>
      <c r="D42" s="225" t="s">
        <v>196</v>
      </c>
      <c r="F42" s="230" t="s">
        <v>195</v>
      </c>
      <c r="G42" s="231" t="s">
        <v>196</v>
      </c>
      <c r="I42" s="225" t="s">
        <v>195</v>
      </c>
      <c r="J42" s="225" t="s">
        <v>196</v>
      </c>
      <c r="L42" s="225" t="s">
        <v>195</v>
      </c>
      <c r="M42" s="225" t="s">
        <v>196</v>
      </c>
      <c r="O42" s="230" t="s">
        <v>195</v>
      </c>
      <c r="P42" s="231" t="s">
        <v>196</v>
      </c>
      <c r="V42" s="122" t="s">
        <v>223</v>
      </c>
      <c r="W42" s="225" t="s">
        <v>196</v>
      </c>
      <c r="Y42" s="122" t="s">
        <v>224</v>
      </c>
      <c r="Z42" s="225" t="s">
        <v>196</v>
      </c>
      <c r="AB42" s="122" t="s">
        <v>224</v>
      </c>
      <c r="AC42" s="225" t="s">
        <v>196</v>
      </c>
      <c r="AE42" s="122" t="s">
        <v>224</v>
      </c>
      <c r="AF42" s="225" t="s">
        <v>196</v>
      </c>
    </row>
    <row r="43" spans="2:32" x14ac:dyDescent="0.25">
      <c r="B43" s="1">
        <v>3</v>
      </c>
      <c r="C43" s="114">
        <v>-7.6</v>
      </c>
      <c r="D43" s="226">
        <v>0.82</v>
      </c>
      <c r="F43" s="232">
        <v>-7.2</v>
      </c>
      <c r="G43" s="233">
        <v>0.78</v>
      </c>
      <c r="I43" s="114">
        <v>-7</v>
      </c>
      <c r="J43" s="226">
        <v>0.75</v>
      </c>
      <c r="L43" s="114">
        <v>-6.6</v>
      </c>
      <c r="M43" s="226">
        <v>0.72</v>
      </c>
      <c r="O43" s="232">
        <v>-6.5</v>
      </c>
      <c r="P43" s="233">
        <v>0.7</v>
      </c>
      <c r="R43" s="227">
        <f>O43/C43</f>
        <v>0.85526315789473684</v>
      </c>
      <c r="U43" t="s">
        <v>218</v>
      </c>
      <c r="V43" s="114">
        <v>-7.2</v>
      </c>
      <c r="W43" s="226">
        <v>0.78</v>
      </c>
      <c r="Y43" s="114">
        <v>-9.1</v>
      </c>
      <c r="Z43" s="226">
        <v>1.05</v>
      </c>
      <c r="AB43" s="114">
        <v>-9</v>
      </c>
      <c r="AC43" s="226">
        <v>0.97</v>
      </c>
      <c r="AE43" s="114">
        <v>-8.6999999999999993</v>
      </c>
      <c r="AF43" s="226">
        <v>0.93</v>
      </c>
    </row>
    <row r="44" spans="2:32" x14ac:dyDescent="0.25">
      <c r="B44" s="1">
        <v>10</v>
      </c>
      <c r="C44" s="114">
        <v>-19.5</v>
      </c>
      <c r="D44" s="226">
        <v>0.63</v>
      </c>
      <c r="F44" s="232">
        <v>-18.8</v>
      </c>
      <c r="G44" s="233">
        <v>0.61</v>
      </c>
      <c r="I44" s="114">
        <v>-18.399999999999999</v>
      </c>
      <c r="J44" s="226">
        <v>0.6</v>
      </c>
      <c r="L44" s="114">
        <v>-19.3</v>
      </c>
      <c r="M44" s="226">
        <v>0.57999999999999996</v>
      </c>
      <c r="O44" s="232">
        <v>-17.7</v>
      </c>
      <c r="P44" s="233">
        <v>0.56999999999999995</v>
      </c>
      <c r="R44" s="227">
        <f>O44/C44</f>
        <v>0.90769230769230769</v>
      </c>
      <c r="U44" t="s">
        <v>219</v>
      </c>
      <c r="V44" s="114">
        <v>-18.8</v>
      </c>
      <c r="W44" s="226">
        <v>0.61</v>
      </c>
      <c r="Y44" s="114">
        <v>-21.8</v>
      </c>
      <c r="Z44" s="226">
        <v>0.69</v>
      </c>
      <c r="AB44" s="114">
        <v>-20.2</v>
      </c>
      <c r="AC44" s="226">
        <v>0.65</v>
      </c>
      <c r="AE44" s="114">
        <v>-19</v>
      </c>
      <c r="AF44" s="226">
        <v>0.61</v>
      </c>
    </row>
    <row r="45" spans="2:32" x14ac:dyDescent="0.25">
      <c r="B45" s="1">
        <v>40</v>
      </c>
      <c r="C45" s="114">
        <v>-70.599999999999994</v>
      </c>
      <c r="D45" s="226">
        <v>0.56999999999999995</v>
      </c>
      <c r="F45" s="232">
        <v>-68.900000000000006</v>
      </c>
      <c r="G45" s="233">
        <v>0.56000000000000005</v>
      </c>
      <c r="I45" s="114">
        <v>-68.7</v>
      </c>
      <c r="J45" s="226">
        <v>0.56000000000000005</v>
      </c>
      <c r="L45" s="114">
        <v>-67.8</v>
      </c>
      <c r="M45" s="226">
        <v>0.55000000000000004</v>
      </c>
      <c r="O45" s="232">
        <v>-68.3</v>
      </c>
      <c r="P45" s="233">
        <v>0.55000000000000004</v>
      </c>
      <c r="U45" t="s">
        <v>220</v>
      </c>
      <c r="V45" s="114">
        <v>-68.900000000000006</v>
      </c>
      <c r="W45" s="226">
        <v>0.56000000000000005</v>
      </c>
      <c r="Y45" s="114">
        <v>-70.3</v>
      </c>
      <c r="Z45" s="226">
        <v>0.57999999999999996</v>
      </c>
      <c r="AB45" s="114">
        <v>-70.8</v>
      </c>
      <c r="AC45" s="226">
        <v>0.56999999999999995</v>
      </c>
      <c r="AE45" s="114">
        <v>-65.5</v>
      </c>
      <c r="AF45" s="226">
        <v>0.53</v>
      </c>
    </row>
    <row r="46" spans="2:32" x14ac:dyDescent="0.25">
      <c r="B46" s="1">
        <v>70</v>
      </c>
      <c r="C46" s="114">
        <v>-121.7</v>
      </c>
      <c r="D46" s="226">
        <v>0.56000000000000005</v>
      </c>
      <c r="F46" s="113">
        <v>-119.1</v>
      </c>
      <c r="G46" s="234">
        <v>0.55000000000000004</v>
      </c>
      <c r="I46" s="114">
        <v>-119.1</v>
      </c>
      <c r="J46" s="226">
        <v>0.55000000000000004</v>
      </c>
      <c r="L46" s="114">
        <v>-120.5</v>
      </c>
      <c r="M46" s="226">
        <v>0.55000000000000004</v>
      </c>
      <c r="O46" s="113">
        <v>-119.1</v>
      </c>
      <c r="P46" s="234">
        <v>0.55000000000000004</v>
      </c>
      <c r="U46" t="s">
        <v>221</v>
      </c>
      <c r="V46" s="114">
        <v>-119.1</v>
      </c>
      <c r="W46" s="226">
        <v>0.55000000000000004</v>
      </c>
      <c r="Y46" s="114">
        <v>-123</v>
      </c>
      <c r="Z46" s="226">
        <v>0.56000000000000005</v>
      </c>
      <c r="AB46" s="114">
        <v>-121.6</v>
      </c>
      <c r="AC46" s="226">
        <v>0.56000000000000005</v>
      </c>
      <c r="AE46" s="114">
        <v>-112.2</v>
      </c>
      <c r="AF46" s="226">
        <v>0.52</v>
      </c>
    </row>
    <row r="47" spans="2:32" x14ac:dyDescent="0.25">
      <c r="B47" s="1"/>
      <c r="C47" s="114"/>
      <c r="D47" s="226"/>
      <c r="F47" s="114"/>
      <c r="G47" s="226"/>
      <c r="I47" s="114"/>
      <c r="J47" s="226"/>
      <c r="L47" s="114"/>
      <c r="M47" s="226"/>
      <c r="O47" s="114"/>
      <c r="P47" s="226"/>
    </row>
    <row r="49" spans="2:18" x14ac:dyDescent="0.25">
      <c r="F49" s="238" t="s">
        <v>216</v>
      </c>
      <c r="G49" s="239"/>
      <c r="O49" s="238" t="s">
        <v>216</v>
      </c>
      <c r="P49" s="239"/>
    </row>
    <row r="50" spans="2:18" x14ac:dyDescent="0.25">
      <c r="C50" s="7" t="s">
        <v>205</v>
      </c>
      <c r="D50" s="7"/>
      <c r="F50" s="235" t="s">
        <v>206</v>
      </c>
      <c r="G50" s="23"/>
      <c r="I50" s="7" t="s">
        <v>183</v>
      </c>
      <c r="J50" s="7"/>
      <c r="L50" s="7" t="s">
        <v>182</v>
      </c>
      <c r="M50" s="7"/>
      <c r="O50" s="228" t="s">
        <v>185</v>
      </c>
      <c r="P50" s="229"/>
      <c r="R50" s="7" t="s">
        <v>207</v>
      </c>
    </row>
    <row r="51" spans="2:18" x14ac:dyDescent="0.25">
      <c r="B51" s="225" t="s">
        <v>9</v>
      </c>
      <c r="C51" s="225" t="s">
        <v>195</v>
      </c>
      <c r="D51" s="225" t="s">
        <v>196</v>
      </c>
      <c r="F51" s="230" t="s">
        <v>195</v>
      </c>
      <c r="G51" s="231" t="s">
        <v>196</v>
      </c>
      <c r="I51" s="225" t="s">
        <v>195</v>
      </c>
      <c r="J51" s="225" t="s">
        <v>196</v>
      </c>
      <c r="L51" s="225" t="s">
        <v>195</v>
      </c>
      <c r="M51" s="225" t="s">
        <v>196</v>
      </c>
      <c r="O51" s="230" t="s">
        <v>195</v>
      </c>
      <c r="P51" s="231" t="s">
        <v>196</v>
      </c>
    </row>
    <row r="52" spans="2:18" x14ac:dyDescent="0.25">
      <c r="B52" s="1">
        <v>3</v>
      </c>
      <c r="C52" s="114">
        <v>-7.1</v>
      </c>
      <c r="D52" s="226">
        <v>0.77</v>
      </c>
      <c r="F52" s="232">
        <v>-7</v>
      </c>
      <c r="G52" s="233">
        <v>0.76</v>
      </c>
      <c r="I52" s="114">
        <v>-6.8</v>
      </c>
      <c r="J52" s="226">
        <v>0.74</v>
      </c>
      <c r="L52" s="114">
        <v>-6.6</v>
      </c>
      <c r="M52" s="226">
        <v>0.74</v>
      </c>
      <c r="O52" s="232">
        <v>-6.4</v>
      </c>
      <c r="P52" s="233">
        <v>0.69</v>
      </c>
      <c r="R52" s="227">
        <f>O52/C52</f>
        <v>0.90140845070422548</v>
      </c>
    </row>
    <row r="53" spans="2:18" x14ac:dyDescent="0.25">
      <c r="B53" s="1">
        <v>10</v>
      </c>
      <c r="C53" s="114">
        <v>-18</v>
      </c>
      <c r="D53" s="226">
        <v>0.57999999999999996</v>
      </c>
      <c r="F53" s="232">
        <v>-17.600000000000001</v>
      </c>
      <c r="G53" s="233">
        <v>0.56999999999999995</v>
      </c>
      <c r="I53" s="114">
        <v>-17.3</v>
      </c>
      <c r="J53" s="226">
        <v>0.56000000000000005</v>
      </c>
      <c r="L53" s="114">
        <v>-17.100000000000001</v>
      </c>
      <c r="M53" s="226">
        <v>0.55000000000000004</v>
      </c>
      <c r="O53" s="232">
        <v>-16.8</v>
      </c>
      <c r="P53" s="233">
        <v>0.54</v>
      </c>
      <c r="R53" s="227">
        <f>O53/C53</f>
        <v>0.93333333333333335</v>
      </c>
    </row>
    <row r="54" spans="2:18" x14ac:dyDescent="0.25">
      <c r="B54" s="1">
        <v>40</v>
      </c>
      <c r="C54" s="114">
        <v>-64.400000000000006</v>
      </c>
      <c r="D54" s="226">
        <v>0.52</v>
      </c>
      <c r="F54" s="232">
        <v>-63</v>
      </c>
      <c r="G54" s="233">
        <v>0.51</v>
      </c>
      <c r="I54" s="114">
        <v>-62.9</v>
      </c>
      <c r="J54" s="226">
        <v>0.51</v>
      </c>
      <c r="L54" s="114">
        <v>-62.8</v>
      </c>
      <c r="M54" s="226">
        <v>0.51</v>
      </c>
      <c r="O54" s="232">
        <v>-62.6</v>
      </c>
      <c r="P54" s="233">
        <v>0.51</v>
      </c>
    </row>
    <row r="55" spans="2:18" x14ac:dyDescent="0.25">
      <c r="B55" s="1">
        <v>70</v>
      </c>
      <c r="C55" s="114">
        <v>-110.8</v>
      </c>
      <c r="D55" s="226">
        <v>0.51</v>
      </c>
      <c r="F55" s="113">
        <v>-108.3</v>
      </c>
      <c r="G55" s="234">
        <v>0.5</v>
      </c>
      <c r="I55" s="114">
        <v>-108.3</v>
      </c>
      <c r="J55" s="226">
        <v>0.5</v>
      </c>
      <c r="L55" s="114">
        <v>-108.3</v>
      </c>
      <c r="M55" s="226">
        <v>0.5</v>
      </c>
      <c r="O55" s="113">
        <v>-108.3</v>
      </c>
      <c r="P55" s="234">
        <v>0.5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ED126-EA24-4C42-A79A-753B8C40EBEE}">
  <sheetPr transitionEvaluation="1" transitionEntry="1">
    <pageSetUpPr fitToPage="1"/>
  </sheetPr>
  <dimension ref="A2:AM354"/>
  <sheetViews>
    <sheetView showGridLines="0" tabSelected="1" topLeftCell="A22" zoomScale="80" zoomScaleNormal="80" workbookViewId="0">
      <selection activeCell="F27" sqref="F27"/>
    </sheetView>
  </sheetViews>
  <sheetFormatPr defaultRowHeight="15" x14ac:dyDescent="0.25"/>
  <cols>
    <col min="1" max="12" width="9.28515625" customWidth="1"/>
    <col min="13" max="13" width="10.85546875" customWidth="1"/>
    <col min="14" max="14" width="9.28515625" customWidth="1"/>
    <col min="15" max="15" width="10.140625" customWidth="1"/>
    <col min="16" max="20" width="9.28515625" customWidth="1"/>
    <col min="21" max="21" width="13" customWidth="1"/>
    <col min="22" max="37" width="9.28515625" customWidth="1"/>
  </cols>
  <sheetData>
    <row r="2" spans="1:39" ht="15.75" x14ac:dyDescent="0.25">
      <c r="A2" s="246" t="s">
        <v>247</v>
      </c>
      <c r="B2" s="246"/>
      <c r="C2" t="s">
        <v>252</v>
      </c>
      <c r="E2" t="s">
        <v>253</v>
      </c>
      <c r="F2" t="s">
        <v>254</v>
      </c>
      <c r="G2" t="s">
        <v>255</v>
      </c>
    </row>
    <row r="3" spans="1:39" ht="15.75" x14ac:dyDescent="0.25">
      <c r="A3" s="246"/>
      <c r="B3" s="246" t="s">
        <v>248</v>
      </c>
    </row>
    <row r="4" spans="1:39" ht="15.75" x14ac:dyDescent="0.25">
      <c r="A4" s="246"/>
      <c r="B4" s="246" t="s">
        <v>249</v>
      </c>
    </row>
    <row r="5" spans="1:39" ht="15.75" x14ac:dyDescent="0.25">
      <c r="A5" s="246"/>
      <c r="B5" s="246" t="s">
        <v>250</v>
      </c>
    </row>
    <row r="6" spans="1:39" ht="15.75" x14ac:dyDescent="0.25">
      <c r="A6" s="246"/>
      <c r="B6" s="247" t="s">
        <v>251</v>
      </c>
    </row>
    <row r="7" spans="1:39" ht="18.75" x14ac:dyDescent="0.3">
      <c r="B7" s="248" t="s">
        <v>256</v>
      </c>
    </row>
    <row r="8" spans="1:39" x14ac:dyDescent="0.25">
      <c r="B8" s="201" t="s">
        <v>257</v>
      </c>
    </row>
    <row r="10" spans="1:39" ht="15.75" x14ac:dyDescent="0.25">
      <c r="K10" s="189" t="s">
        <v>131</v>
      </c>
      <c r="AM10" t="s">
        <v>12</v>
      </c>
    </row>
    <row r="11" spans="1:39" ht="15.75" x14ac:dyDescent="0.25">
      <c r="K11" s="189" t="s">
        <v>132</v>
      </c>
    </row>
    <row r="14" spans="1:39" ht="15.75" x14ac:dyDescent="0.25">
      <c r="B14" s="2" t="s">
        <v>3</v>
      </c>
      <c r="C14" t="s">
        <v>5</v>
      </c>
      <c r="K14" s="224"/>
    </row>
    <row r="15" spans="1:39" ht="15.75" x14ac:dyDescent="0.25">
      <c r="B15" s="2" t="s">
        <v>21</v>
      </c>
      <c r="C15" t="s">
        <v>6</v>
      </c>
      <c r="K15" s="206"/>
    </row>
    <row r="16" spans="1:39" x14ac:dyDescent="0.25">
      <c r="B16" s="2" t="s">
        <v>4</v>
      </c>
      <c r="C16" t="s">
        <v>7</v>
      </c>
    </row>
    <row r="17" spans="1:22" x14ac:dyDescent="0.25">
      <c r="B17" s="2"/>
    </row>
    <row r="18" spans="1:22" x14ac:dyDescent="0.25">
      <c r="B18" s="21" t="s">
        <v>22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Q18" s="21" t="s">
        <v>30</v>
      </c>
      <c r="R18" s="22"/>
      <c r="S18" s="22"/>
      <c r="T18" s="22"/>
      <c r="U18" s="22"/>
      <c r="V18" s="23"/>
    </row>
    <row r="19" spans="1:22" x14ac:dyDescent="0.25">
      <c r="B19" s="24"/>
      <c r="C19" s="20" t="s">
        <v>23</v>
      </c>
      <c r="O19" s="25"/>
      <c r="Q19" s="24"/>
      <c r="R19">
        <v>2.5</v>
      </c>
      <c r="S19" t="s">
        <v>31</v>
      </c>
      <c r="V19" s="25"/>
    </row>
    <row r="20" spans="1:22" x14ac:dyDescent="0.25">
      <c r="B20" s="24"/>
      <c r="D20" s="20" t="s">
        <v>24</v>
      </c>
      <c r="E20" s="20"/>
      <c r="F20" s="20"/>
      <c r="G20" s="20"/>
      <c r="H20" s="20"/>
      <c r="I20" s="20"/>
      <c r="J20" s="20"/>
      <c r="O20" s="25"/>
      <c r="Q20" s="24"/>
      <c r="R20" s="30">
        <v>1.5</v>
      </c>
      <c r="S20" t="s">
        <v>32</v>
      </c>
      <c r="V20" s="25"/>
    </row>
    <row r="21" spans="1:22" x14ac:dyDescent="0.25">
      <c r="B21" s="24"/>
      <c r="D21" s="20" t="s">
        <v>26</v>
      </c>
      <c r="E21" s="20"/>
      <c r="F21" s="20"/>
      <c r="G21" s="20"/>
      <c r="H21" s="20"/>
      <c r="I21" s="20"/>
      <c r="J21" s="20"/>
      <c r="O21" s="25"/>
      <c r="Q21" s="24"/>
      <c r="R21">
        <f>SUM(R19:R20)</f>
        <v>4</v>
      </c>
      <c r="S21" t="s">
        <v>33</v>
      </c>
      <c r="V21" s="25"/>
    </row>
    <row r="22" spans="1:22" x14ac:dyDescent="0.25">
      <c r="B22" s="24"/>
      <c r="D22" s="20" t="s">
        <v>25</v>
      </c>
      <c r="E22" s="20"/>
      <c r="F22" s="20"/>
      <c r="G22" s="20"/>
      <c r="H22" s="20"/>
      <c r="I22" s="20"/>
      <c r="J22" s="20"/>
      <c r="O22" s="25"/>
      <c r="Q22" s="24"/>
      <c r="V22" s="25"/>
    </row>
    <row r="23" spans="1:22" x14ac:dyDescent="0.25">
      <c r="B23" s="24"/>
      <c r="D23" s="3" t="s">
        <v>27</v>
      </c>
      <c r="E23" s="3"/>
      <c r="F23" s="3"/>
      <c r="G23" s="3"/>
      <c r="H23" s="3"/>
      <c r="I23" s="3"/>
      <c r="J23" s="3"/>
      <c r="O23" s="25"/>
      <c r="Q23" s="24"/>
      <c r="V23" s="25"/>
    </row>
    <row r="24" spans="1:22" x14ac:dyDescent="0.25">
      <c r="B24" s="24"/>
      <c r="D24" s="3" t="s">
        <v>28</v>
      </c>
      <c r="E24" s="3"/>
      <c r="F24" s="3"/>
      <c r="G24" s="3"/>
      <c r="H24" s="3"/>
      <c r="I24" s="3"/>
      <c r="J24" s="3"/>
      <c r="O24" s="25"/>
      <c r="Q24" s="24"/>
      <c r="V24" s="25"/>
    </row>
    <row r="25" spans="1:22" x14ac:dyDescent="0.25">
      <c r="B25" s="26"/>
      <c r="C25" s="27"/>
      <c r="D25" s="28" t="s">
        <v>29</v>
      </c>
      <c r="E25" s="28"/>
      <c r="F25" s="28"/>
      <c r="G25" s="28"/>
      <c r="H25" s="28"/>
      <c r="I25" s="28"/>
      <c r="J25" s="28"/>
      <c r="K25" s="27"/>
      <c r="L25" s="27"/>
      <c r="M25" s="27"/>
      <c r="N25" s="27"/>
      <c r="O25" s="29"/>
      <c r="Q25" s="26"/>
      <c r="R25" s="27"/>
      <c r="S25" s="27"/>
      <c r="T25" s="27"/>
      <c r="U25" s="27"/>
      <c r="V25" s="29"/>
    </row>
    <row r="26" spans="1:22" x14ac:dyDescent="0.25">
      <c r="B26" s="2"/>
      <c r="K26" s="3"/>
    </row>
    <row r="27" spans="1:22" x14ac:dyDescent="0.25">
      <c r="B27" s="1"/>
    </row>
    <row r="28" spans="1:22" x14ac:dyDescent="0.25">
      <c r="B28" s="20" t="s">
        <v>35</v>
      </c>
    </row>
    <row r="29" spans="1:22" x14ac:dyDescent="0.25">
      <c r="B29" s="20"/>
    </row>
    <row r="30" spans="1:22" x14ac:dyDescent="0.25">
      <c r="A30" s="83"/>
      <c r="B30" s="85">
        <v>0.12</v>
      </c>
    </row>
    <row r="31" spans="1:22" x14ac:dyDescent="0.25">
      <c r="A31" s="83"/>
      <c r="B31" s="85">
        <v>1</v>
      </c>
    </row>
    <row r="32" spans="1:22" x14ac:dyDescent="0.25">
      <c r="A32" s="83">
        <v>1</v>
      </c>
      <c r="B32" s="86">
        <f>B31+B$30</f>
        <v>1.1200000000000001</v>
      </c>
      <c r="L32" s="249" t="s">
        <v>258</v>
      </c>
      <c r="M32" s="31"/>
      <c r="N32" s="32"/>
      <c r="O32" s="32"/>
      <c r="P32" s="32"/>
      <c r="Q32" s="32"/>
      <c r="R32" s="32"/>
      <c r="S32" s="33"/>
    </row>
    <row r="33" spans="1:24" x14ac:dyDescent="0.25">
      <c r="A33" s="83">
        <v>2</v>
      </c>
      <c r="B33" s="86">
        <f t="shared" ref="B33:B37" si="0">B32+B$30</f>
        <v>1.2400000000000002</v>
      </c>
      <c r="L33" s="34"/>
      <c r="M33" s="35"/>
      <c r="N33" s="35"/>
      <c r="O33" s="35"/>
      <c r="P33" s="35"/>
      <c r="Q33" s="35"/>
      <c r="R33" s="35"/>
      <c r="S33" s="36"/>
    </row>
    <row r="34" spans="1:24" x14ac:dyDescent="0.25">
      <c r="A34" s="83">
        <v>3</v>
      </c>
      <c r="B34" s="86">
        <f t="shared" si="0"/>
        <v>1.3600000000000003</v>
      </c>
      <c r="L34" s="24"/>
      <c r="M34" s="37"/>
      <c r="N34" s="11"/>
      <c r="O34" s="11"/>
      <c r="P34" s="11"/>
      <c r="Q34" s="11"/>
      <c r="R34" s="11"/>
      <c r="S34" s="36"/>
    </row>
    <row r="35" spans="1:24" x14ac:dyDescent="0.25">
      <c r="A35" s="83">
        <v>4</v>
      </c>
      <c r="B35" s="86">
        <f t="shared" si="0"/>
        <v>1.4800000000000004</v>
      </c>
      <c r="L35" s="26"/>
      <c r="M35" s="38"/>
      <c r="N35" s="38"/>
      <c r="O35" s="38"/>
      <c r="P35" s="38"/>
      <c r="Q35" s="38"/>
      <c r="R35" s="38"/>
      <c r="S35" s="39"/>
    </row>
    <row r="36" spans="1:24" x14ac:dyDescent="0.25">
      <c r="A36" s="83">
        <v>5</v>
      </c>
      <c r="B36" s="86">
        <f t="shared" si="0"/>
        <v>1.6000000000000005</v>
      </c>
    </row>
    <row r="37" spans="1:24" x14ac:dyDescent="0.25">
      <c r="A37" s="83">
        <v>6</v>
      </c>
      <c r="B37" s="86">
        <f t="shared" si="0"/>
        <v>1.7200000000000006</v>
      </c>
      <c r="D37" t="s">
        <v>72</v>
      </c>
    </row>
    <row r="38" spans="1:24" x14ac:dyDescent="0.25">
      <c r="A38" s="83"/>
      <c r="B38" s="86"/>
      <c r="F38" s="40" t="s">
        <v>68</v>
      </c>
      <c r="G38" s="22"/>
      <c r="H38" s="22"/>
      <c r="I38" s="22"/>
      <c r="J38" s="200" t="s">
        <v>145</v>
      </c>
      <c r="K38" s="22"/>
      <c r="L38" s="22"/>
      <c r="M38" s="22"/>
      <c r="N38" s="22"/>
      <c r="O38" s="22"/>
      <c r="P38" s="22"/>
      <c r="Q38" s="55" t="s">
        <v>45</v>
      </c>
      <c r="R38" s="23"/>
    </row>
    <row r="39" spans="1:24" x14ac:dyDescent="0.25">
      <c r="A39" s="83"/>
      <c r="B39" s="86"/>
      <c r="F39" s="183"/>
      <c r="J39" s="201" t="s">
        <v>146</v>
      </c>
      <c r="Q39" s="186"/>
      <c r="R39" s="25"/>
    </row>
    <row r="40" spans="1:24" x14ac:dyDescent="0.25">
      <c r="A40" s="83"/>
      <c r="B40" s="86"/>
      <c r="F40" s="183"/>
      <c r="J40" s="201" t="s">
        <v>155</v>
      </c>
      <c r="Q40" s="186"/>
      <c r="R40" s="25"/>
    </row>
    <row r="41" spans="1:24" x14ac:dyDescent="0.25">
      <c r="A41" s="83"/>
      <c r="B41" s="86"/>
      <c r="F41" s="183"/>
      <c r="J41" s="202" t="s">
        <v>156</v>
      </c>
      <c r="Q41" s="186"/>
      <c r="R41" s="25"/>
    </row>
    <row r="42" spans="1:24" x14ac:dyDescent="0.25">
      <c r="A42" s="83"/>
      <c r="B42" s="20"/>
      <c r="F42" s="24"/>
      <c r="R42" s="25"/>
    </row>
    <row r="43" spans="1:24" x14ac:dyDescent="0.25">
      <c r="A43" s="83"/>
      <c r="F43" s="41"/>
      <c r="G43" s="42" t="s">
        <v>58</v>
      </c>
      <c r="H43" s="42" t="s">
        <v>59</v>
      </c>
      <c r="I43" s="42" t="s">
        <v>60</v>
      </c>
      <c r="J43" s="178" t="s">
        <v>61</v>
      </c>
      <c r="K43" s="178" t="s">
        <v>62</v>
      </c>
      <c r="L43" s="178" t="s">
        <v>63</v>
      </c>
      <c r="M43" s="178" t="s">
        <v>40</v>
      </c>
      <c r="N43" s="178" t="s">
        <v>64</v>
      </c>
      <c r="O43" s="178" t="s">
        <v>65</v>
      </c>
      <c r="P43" s="178" t="s">
        <v>66</v>
      </c>
      <c r="Q43" s="178" t="s">
        <v>67</v>
      </c>
      <c r="R43" s="175" t="s">
        <v>41</v>
      </c>
      <c r="S43" s="176"/>
      <c r="T43" s="177"/>
    </row>
    <row r="44" spans="1:24" x14ac:dyDescent="0.25">
      <c r="A44" s="83"/>
      <c r="C44" s="73" t="s">
        <v>34</v>
      </c>
      <c r="F44" s="44"/>
      <c r="G44" s="4">
        <v>-5</v>
      </c>
      <c r="H44" s="4">
        <v>-4</v>
      </c>
      <c r="I44" s="4">
        <v>-3</v>
      </c>
      <c r="J44" s="4">
        <v>-2</v>
      </c>
      <c r="K44" s="4">
        <v>-1</v>
      </c>
      <c r="L44" s="4">
        <v>0</v>
      </c>
      <c r="M44" s="4">
        <v>1</v>
      </c>
      <c r="N44" s="4">
        <v>2</v>
      </c>
      <c r="O44" s="4">
        <v>3</v>
      </c>
      <c r="P44" s="4">
        <v>4</v>
      </c>
      <c r="Q44" s="4">
        <v>5</v>
      </c>
      <c r="R44" s="45">
        <v>6</v>
      </c>
      <c r="T44" s="4">
        <v>1</v>
      </c>
      <c r="U44" s="4">
        <v>6</v>
      </c>
    </row>
    <row r="45" spans="1:24" x14ac:dyDescent="0.25">
      <c r="A45" s="83"/>
      <c r="B45" s="4"/>
      <c r="C45" s="4" t="s">
        <v>10</v>
      </c>
      <c r="D45" s="87" t="s">
        <v>37</v>
      </c>
      <c r="E45" s="73"/>
      <c r="F45" s="24"/>
      <c r="N45" s="46" t="s">
        <v>43</v>
      </c>
      <c r="R45" s="25"/>
    </row>
    <row r="46" spans="1:24" x14ac:dyDescent="0.25">
      <c r="A46" s="83"/>
      <c r="B46" s="4" t="s">
        <v>9</v>
      </c>
      <c r="C46" s="88" t="s">
        <v>36</v>
      </c>
      <c r="D46" s="89">
        <v>-0.02</v>
      </c>
      <c r="E46" s="74"/>
      <c r="F46" s="24"/>
      <c r="G46" s="47"/>
      <c r="H46" s="47"/>
      <c r="I46" s="47"/>
      <c r="J46" s="47"/>
      <c r="K46" s="47"/>
      <c r="L46" s="47"/>
      <c r="M46" s="47">
        <f>M34</f>
        <v>0</v>
      </c>
      <c r="N46" s="47">
        <f>N34</f>
        <v>0</v>
      </c>
      <c r="O46" s="47">
        <f t="shared" ref="O46:R46" si="1">O34</f>
        <v>0</v>
      </c>
      <c r="P46" s="47">
        <f t="shared" si="1"/>
        <v>0</v>
      </c>
      <c r="Q46" s="47">
        <f t="shared" si="1"/>
        <v>0</v>
      </c>
      <c r="R46" s="48">
        <f t="shared" si="1"/>
        <v>0</v>
      </c>
    </row>
    <row r="47" spans="1:24" x14ac:dyDescent="0.25">
      <c r="A47" s="83"/>
      <c r="B47" s="4">
        <v>1</v>
      </c>
      <c r="C47" s="6">
        <v>0.78</v>
      </c>
      <c r="D47" s="6">
        <f t="shared" ref="D47:D58" si="2">C47+$D$46</f>
        <v>0.76</v>
      </c>
      <c r="E47" s="1"/>
      <c r="F47" s="49">
        <f t="shared" ref="F47:F57" si="3">M47/M48</f>
        <v>0.91041666666666665</v>
      </c>
      <c r="G47" s="13">
        <f>($W47*G$44)+$X47</f>
        <v>0.96139999999999992</v>
      </c>
      <c r="H47" s="13">
        <f t="shared" ref="H47:K47" si="4">($W47*H$44)+$X47</f>
        <v>0.87399999999999989</v>
      </c>
      <c r="I47" s="13">
        <f t="shared" si="4"/>
        <v>0.78659999999999997</v>
      </c>
      <c r="J47" s="13">
        <f t="shared" si="4"/>
        <v>0.69919999999999993</v>
      </c>
      <c r="K47" s="13">
        <f t="shared" si="4"/>
        <v>0.61180000000000001</v>
      </c>
      <c r="L47" s="13">
        <f>($W47*L$44)+$X47</f>
        <v>0.52439999999999998</v>
      </c>
      <c r="M47" s="62">
        <v>0.437</v>
      </c>
      <c r="N47" s="13">
        <f>($W47*N$44)+$X47</f>
        <v>0.34960000000000002</v>
      </c>
      <c r="O47" s="13">
        <f t="shared" ref="O47:Q58" si="5">($W47*O$44)+$X47</f>
        <v>0.26219999999999999</v>
      </c>
      <c r="P47" s="13">
        <f t="shared" si="5"/>
        <v>0.17480000000000001</v>
      </c>
      <c r="Q47" s="13">
        <f t="shared" si="5"/>
        <v>8.7400000000000033E-2</v>
      </c>
      <c r="R47" s="76">
        <f>R34</f>
        <v>0</v>
      </c>
      <c r="S47" s="11"/>
      <c r="T47" s="1">
        <f>M47</f>
        <v>0.437</v>
      </c>
      <c r="U47" s="1">
        <f t="shared" ref="U47:U58" si="6">R47</f>
        <v>0</v>
      </c>
      <c r="V47" s="90" t="s">
        <v>44</v>
      </c>
      <c r="W47" s="91">
        <f>INDEX(LINEST(T47:U47,(T$44:U$44)^{1}),1)</f>
        <v>-8.7399999999999992E-2</v>
      </c>
      <c r="X47" s="91">
        <f>INDEX(LINEST(T47:U47,(T$44:U$44)^{1}),1,2)</f>
        <v>0.52439999999999998</v>
      </c>
    </row>
    <row r="48" spans="1:24" x14ac:dyDescent="0.25">
      <c r="A48" s="83"/>
      <c r="B48" s="4">
        <v>2</v>
      </c>
      <c r="C48" s="1">
        <v>0.56999999999999995</v>
      </c>
      <c r="D48" s="1">
        <f t="shared" si="2"/>
        <v>0.54999999999999993</v>
      </c>
      <c r="E48" s="1"/>
      <c r="F48" s="49">
        <f t="shared" si="3"/>
        <v>0.9213051823416506</v>
      </c>
      <c r="G48" s="12">
        <f t="shared" ref="G48:N58" si="7">($W48*G$44)+$X48</f>
        <v>1.0559999999999998</v>
      </c>
      <c r="H48" s="12">
        <f t="shared" si="7"/>
        <v>0.96</v>
      </c>
      <c r="I48" s="12">
        <f t="shared" si="7"/>
        <v>0.86399999999999988</v>
      </c>
      <c r="J48" s="12">
        <f t="shared" si="7"/>
        <v>0.7679999999999999</v>
      </c>
      <c r="K48" s="12">
        <f t="shared" si="7"/>
        <v>0.67199999999999993</v>
      </c>
      <c r="L48" s="12">
        <f t="shared" si="7"/>
        <v>0.57599999999999996</v>
      </c>
      <c r="M48" s="37">
        <v>0.48</v>
      </c>
      <c r="N48" s="12">
        <f t="shared" si="7"/>
        <v>0.38400000000000001</v>
      </c>
      <c r="O48" s="12">
        <f t="shared" si="5"/>
        <v>0.28799999999999998</v>
      </c>
      <c r="P48" s="12">
        <f t="shared" si="5"/>
        <v>0.192</v>
      </c>
      <c r="Q48" s="12">
        <f t="shared" si="5"/>
        <v>9.600000000000003E-2</v>
      </c>
      <c r="R48" s="50">
        <f t="shared" ref="R48:R58" si="8">R$34</f>
        <v>0</v>
      </c>
      <c r="T48" s="1">
        <f t="shared" ref="T48:T58" si="9">M48</f>
        <v>0.48</v>
      </c>
      <c r="U48" s="1">
        <f t="shared" si="6"/>
        <v>0</v>
      </c>
      <c r="V48" s="90" t="s">
        <v>44</v>
      </c>
      <c r="W48" s="91">
        <f>INDEX(LINEST(T48:U48,(T$44:U$44)^{1}),1)</f>
        <v>-9.5999999999999988E-2</v>
      </c>
      <c r="X48" s="91">
        <f>INDEX(LINEST(T48:U48,(T$44:U$44)^{1}),1,2)</f>
        <v>0.57599999999999996</v>
      </c>
    </row>
    <row r="49" spans="1:24" x14ac:dyDescent="0.25">
      <c r="A49" s="83"/>
      <c r="B49" s="4">
        <v>3</v>
      </c>
      <c r="C49" s="5">
        <v>0.54</v>
      </c>
      <c r="D49" s="5">
        <f t="shared" si="2"/>
        <v>0.52</v>
      </c>
      <c r="E49" s="1"/>
      <c r="F49" s="49">
        <f t="shared" si="3"/>
        <v>0.93705035971223016</v>
      </c>
      <c r="G49" s="14">
        <f t="shared" si="7"/>
        <v>1.1461999999999997</v>
      </c>
      <c r="H49" s="14">
        <f t="shared" si="7"/>
        <v>1.0419999999999998</v>
      </c>
      <c r="I49" s="14">
        <f t="shared" si="7"/>
        <v>0.93779999999999974</v>
      </c>
      <c r="J49" s="14">
        <f t="shared" si="7"/>
        <v>0.83359999999999979</v>
      </c>
      <c r="K49" s="14">
        <f t="shared" si="7"/>
        <v>0.72939999999999983</v>
      </c>
      <c r="L49" s="14">
        <f t="shared" si="7"/>
        <v>0.62519999999999987</v>
      </c>
      <c r="M49" s="66">
        <v>0.52100000000000002</v>
      </c>
      <c r="N49" s="14">
        <f t="shared" si="7"/>
        <v>0.41679999999999995</v>
      </c>
      <c r="O49" s="14">
        <f t="shared" si="5"/>
        <v>0.31259999999999999</v>
      </c>
      <c r="P49" s="14">
        <f t="shared" si="5"/>
        <v>0.20840000000000003</v>
      </c>
      <c r="Q49" s="14">
        <f t="shared" si="5"/>
        <v>0.10420000000000007</v>
      </c>
      <c r="R49" s="51">
        <f t="shared" si="8"/>
        <v>0</v>
      </c>
      <c r="T49" s="1">
        <f t="shared" si="9"/>
        <v>0.52100000000000002</v>
      </c>
      <c r="U49" s="1">
        <f t="shared" si="6"/>
        <v>0</v>
      </c>
      <c r="V49" s="90" t="s">
        <v>44</v>
      </c>
      <c r="W49" s="91">
        <f>INDEX(LINEST(T49:U49,(T$44:U$44)^{1}),1)</f>
        <v>-0.10419999999999996</v>
      </c>
      <c r="X49" s="91">
        <f>INDEX(LINEST(T49:U49,(T$44:U$44)^{1}),1,2)</f>
        <v>0.62519999999999987</v>
      </c>
    </row>
    <row r="50" spans="1:24" x14ac:dyDescent="0.25">
      <c r="A50" s="83"/>
      <c r="B50" s="4">
        <v>4</v>
      </c>
      <c r="C50" s="1">
        <v>0.53</v>
      </c>
      <c r="D50" s="1">
        <f t="shared" si="2"/>
        <v>0.51</v>
      </c>
      <c r="E50" s="1"/>
      <c r="F50" s="49">
        <f t="shared" si="3"/>
        <v>0.9504273504273506</v>
      </c>
      <c r="G50" s="12">
        <f t="shared" si="7"/>
        <v>1.2231999999999998</v>
      </c>
      <c r="H50" s="12">
        <f t="shared" si="7"/>
        <v>1.1119999999999999</v>
      </c>
      <c r="I50" s="12">
        <f t="shared" si="7"/>
        <v>1.0007999999999999</v>
      </c>
      <c r="J50" s="12">
        <f t="shared" si="7"/>
        <v>0.88959999999999995</v>
      </c>
      <c r="K50" s="12">
        <f t="shared" si="7"/>
        <v>0.77839999999999998</v>
      </c>
      <c r="L50" s="12">
        <f t="shared" si="7"/>
        <v>0.66720000000000002</v>
      </c>
      <c r="M50" s="37">
        <v>0.55600000000000005</v>
      </c>
      <c r="N50" s="12">
        <f t="shared" si="7"/>
        <v>0.44480000000000008</v>
      </c>
      <c r="O50" s="12">
        <f t="shared" si="5"/>
        <v>0.33360000000000006</v>
      </c>
      <c r="P50" s="12">
        <f t="shared" si="5"/>
        <v>0.2224000000000001</v>
      </c>
      <c r="Q50" s="12">
        <f t="shared" si="5"/>
        <v>0.11120000000000008</v>
      </c>
      <c r="R50" s="50">
        <f t="shared" si="8"/>
        <v>0</v>
      </c>
      <c r="T50" s="1">
        <f t="shared" si="9"/>
        <v>0.55600000000000005</v>
      </c>
      <c r="U50" s="1">
        <f t="shared" si="6"/>
        <v>0</v>
      </c>
      <c r="V50" s="90" t="s">
        <v>44</v>
      </c>
      <c r="W50" s="91">
        <f>INDEX(LINEST(T50:U50,(T$44:U$44)^{1}),1)</f>
        <v>-0.11119999999999998</v>
      </c>
      <c r="X50" s="91">
        <f>INDEX(LINEST(T50:U50,(T$44:U$44)^{1}),1,2)</f>
        <v>0.66720000000000002</v>
      </c>
    </row>
    <row r="51" spans="1:24" x14ac:dyDescent="0.25">
      <c r="A51" s="83"/>
      <c r="B51" s="4">
        <v>5</v>
      </c>
      <c r="C51" s="1">
        <v>0.56000000000000005</v>
      </c>
      <c r="D51" s="1">
        <f t="shared" si="2"/>
        <v>0.54</v>
      </c>
      <c r="E51" s="1"/>
      <c r="F51" s="49">
        <f t="shared" si="3"/>
        <v>0.93599999999999994</v>
      </c>
      <c r="G51" s="12">
        <f t="shared" si="7"/>
        <v>1.2869999999999999</v>
      </c>
      <c r="H51" s="12">
        <f t="shared" si="7"/>
        <v>1.17</v>
      </c>
      <c r="I51" s="12">
        <f t="shared" si="7"/>
        <v>1.0529999999999999</v>
      </c>
      <c r="J51" s="12">
        <f t="shared" si="7"/>
        <v>0.93599999999999994</v>
      </c>
      <c r="K51" s="12">
        <f t="shared" si="7"/>
        <v>0.81899999999999995</v>
      </c>
      <c r="L51" s="12">
        <f t="shared" si="7"/>
        <v>0.70199999999999996</v>
      </c>
      <c r="M51" s="37">
        <v>0.58499999999999996</v>
      </c>
      <c r="N51" s="12">
        <f t="shared" si="7"/>
        <v>0.46799999999999997</v>
      </c>
      <c r="O51" s="12">
        <f t="shared" si="5"/>
        <v>0.35100000000000003</v>
      </c>
      <c r="P51" s="12">
        <f t="shared" si="5"/>
        <v>0.23400000000000004</v>
      </c>
      <c r="Q51" s="12">
        <f t="shared" si="5"/>
        <v>0.1170000000000001</v>
      </c>
      <c r="R51" s="50">
        <f t="shared" si="8"/>
        <v>0</v>
      </c>
      <c r="T51" s="1">
        <f t="shared" si="9"/>
        <v>0.58499999999999996</v>
      </c>
      <c r="U51" s="1">
        <f t="shared" si="6"/>
        <v>0</v>
      </c>
      <c r="V51" s="90" t="s">
        <v>44</v>
      </c>
      <c r="W51" s="91">
        <f>INDEX(LINEST(T51:U51,(T$44:U$44)^{1}),1)</f>
        <v>-0.11699999999999998</v>
      </c>
      <c r="X51" s="91">
        <f>INDEX(LINEST(T51:U51,(T$44:U$44)^{1}),1,2)</f>
        <v>0.70199999999999996</v>
      </c>
    </row>
    <row r="52" spans="1:24" x14ac:dyDescent="0.25">
      <c r="A52" s="83"/>
      <c r="B52" s="4">
        <v>10</v>
      </c>
      <c r="C52" s="5">
        <v>0.64</v>
      </c>
      <c r="D52" s="5">
        <f t="shared" si="2"/>
        <v>0.62</v>
      </c>
      <c r="E52" s="1"/>
      <c r="F52" s="49">
        <f t="shared" si="3"/>
        <v>0.96153846153846145</v>
      </c>
      <c r="G52" s="14">
        <f t="shared" si="7"/>
        <v>1.375</v>
      </c>
      <c r="H52" s="14">
        <f t="shared" si="7"/>
        <v>1.25</v>
      </c>
      <c r="I52" s="14">
        <f t="shared" si="7"/>
        <v>1.125</v>
      </c>
      <c r="J52" s="14">
        <f t="shared" si="7"/>
        <v>1</v>
      </c>
      <c r="K52" s="14">
        <f t="shared" si="7"/>
        <v>0.875</v>
      </c>
      <c r="L52" s="14">
        <f t="shared" si="7"/>
        <v>0.75</v>
      </c>
      <c r="M52" s="66">
        <v>0.625</v>
      </c>
      <c r="N52" s="14">
        <f t="shared" si="7"/>
        <v>0.5</v>
      </c>
      <c r="O52" s="14">
        <f t="shared" si="5"/>
        <v>0.375</v>
      </c>
      <c r="P52" s="14">
        <f t="shared" si="5"/>
        <v>0.25</v>
      </c>
      <c r="Q52" s="14">
        <f t="shared" si="5"/>
        <v>0.125</v>
      </c>
      <c r="R52" s="51">
        <f t="shared" si="8"/>
        <v>0</v>
      </c>
      <c r="T52" s="1">
        <f t="shared" si="9"/>
        <v>0.625</v>
      </c>
      <c r="U52" s="1">
        <f t="shared" si="6"/>
        <v>0</v>
      </c>
      <c r="V52" s="90" t="s">
        <v>44</v>
      </c>
      <c r="W52" s="91">
        <f>INDEX(LINEST(T52:U52,(T$44:U$44)^{1}),1)</f>
        <v>-0.125</v>
      </c>
      <c r="X52" s="91">
        <f>INDEX(LINEST(T52:U52,(T$44:U$44)^{1}),1,2)</f>
        <v>0.75</v>
      </c>
    </row>
    <row r="53" spans="1:24" x14ac:dyDescent="0.25">
      <c r="A53" s="83"/>
      <c r="B53" s="4">
        <v>20</v>
      </c>
      <c r="C53" s="1">
        <v>0.66</v>
      </c>
      <c r="D53" s="1">
        <f t="shared" si="2"/>
        <v>0.64</v>
      </c>
      <c r="E53" s="1"/>
      <c r="F53" s="49">
        <f t="shared" si="3"/>
        <v>0.98484848484848486</v>
      </c>
      <c r="G53" s="12">
        <f t="shared" si="7"/>
        <v>1.4299999999999995</v>
      </c>
      <c r="H53" s="12">
        <f t="shared" si="7"/>
        <v>1.2999999999999996</v>
      </c>
      <c r="I53" s="12">
        <f t="shared" si="7"/>
        <v>1.1699999999999997</v>
      </c>
      <c r="J53" s="12">
        <f t="shared" si="7"/>
        <v>1.0399999999999996</v>
      </c>
      <c r="K53" s="12">
        <f t="shared" si="7"/>
        <v>0.9099999999999997</v>
      </c>
      <c r="L53" s="12">
        <f t="shared" si="7"/>
        <v>0.7799999999999998</v>
      </c>
      <c r="M53" s="37">
        <v>0.65</v>
      </c>
      <c r="N53" s="12">
        <f t="shared" si="7"/>
        <v>0.51999999999999991</v>
      </c>
      <c r="O53" s="12">
        <f t="shared" si="5"/>
        <v>0.38999999999999996</v>
      </c>
      <c r="P53" s="12">
        <f t="shared" si="5"/>
        <v>0.26</v>
      </c>
      <c r="Q53" s="12">
        <f t="shared" si="5"/>
        <v>0.13000000000000012</v>
      </c>
      <c r="R53" s="50">
        <f t="shared" si="8"/>
        <v>0</v>
      </c>
      <c r="T53" s="1">
        <f t="shared" si="9"/>
        <v>0.65</v>
      </c>
      <c r="U53" s="1">
        <f t="shared" si="6"/>
        <v>0</v>
      </c>
      <c r="V53" s="90" t="s">
        <v>44</v>
      </c>
      <c r="W53" s="91">
        <f>INDEX(LINEST(T53:U53,(T$44:U$44)^{1}),1)</f>
        <v>-0.12999999999999995</v>
      </c>
      <c r="X53" s="91">
        <f>INDEX(LINEST(T53:U53,(T$44:U$44)^{1}),1,2)</f>
        <v>0.7799999999999998</v>
      </c>
    </row>
    <row r="54" spans="1:24" x14ac:dyDescent="0.25">
      <c r="A54" s="83"/>
      <c r="B54" s="4">
        <v>30</v>
      </c>
      <c r="C54" s="1">
        <v>0.68</v>
      </c>
      <c r="D54" s="1">
        <f t="shared" si="2"/>
        <v>0.66</v>
      </c>
      <c r="E54" s="1"/>
      <c r="F54" s="49">
        <f t="shared" si="3"/>
        <v>0.9850746268656716</v>
      </c>
      <c r="G54" s="12">
        <f t="shared" si="7"/>
        <v>1.452</v>
      </c>
      <c r="H54" s="12">
        <f t="shared" si="7"/>
        <v>1.3199999999999998</v>
      </c>
      <c r="I54" s="12">
        <f t="shared" si="7"/>
        <v>1.1879999999999997</v>
      </c>
      <c r="J54" s="12">
        <f t="shared" si="7"/>
        <v>1.0559999999999998</v>
      </c>
      <c r="K54" s="12">
        <f t="shared" si="7"/>
        <v>0.92399999999999993</v>
      </c>
      <c r="L54" s="12">
        <f t="shared" si="7"/>
        <v>0.79199999999999993</v>
      </c>
      <c r="M54" s="37">
        <v>0.66</v>
      </c>
      <c r="N54" s="12">
        <f t="shared" si="7"/>
        <v>0.52800000000000002</v>
      </c>
      <c r="O54" s="12">
        <f t="shared" si="5"/>
        <v>0.39600000000000002</v>
      </c>
      <c r="P54" s="12">
        <f t="shared" si="5"/>
        <v>0.26400000000000001</v>
      </c>
      <c r="Q54" s="12">
        <f t="shared" si="5"/>
        <v>0.13200000000000001</v>
      </c>
      <c r="R54" s="50">
        <f t="shared" si="8"/>
        <v>0</v>
      </c>
      <c r="T54" s="1">
        <f t="shared" si="9"/>
        <v>0.66</v>
      </c>
      <c r="U54" s="1">
        <f t="shared" si="6"/>
        <v>0</v>
      </c>
      <c r="V54" s="90" t="s">
        <v>44</v>
      </c>
      <c r="W54" s="91">
        <f>INDEX(LINEST(T54:U54,(T$44:U$44)^{1}),1)</f>
        <v>-0.13199999999999998</v>
      </c>
      <c r="X54" s="91">
        <f>INDEX(LINEST(T54:U54,(T$44:U$44)^{1}),1,2)</f>
        <v>0.79199999999999993</v>
      </c>
    </row>
    <row r="55" spans="1:24" x14ac:dyDescent="0.25">
      <c r="A55" s="83"/>
      <c r="B55" s="4">
        <v>40</v>
      </c>
      <c r="C55" s="1">
        <v>0.69</v>
      </c>
      <c r="D55" s="1">
        <f t="shared" si="2"/>
        <v>0.66999999999999993</v>
      </c>
      <c r="E55" s="1"/>
      <c r="F55" s="49">
        <f t="shared" si="3"/>
        <v>0.98529411764705876</v>
      </c>
      <c r="G55" s="12">
        <f t="shared" si="7"/>
        <v>1.4740000000000002</v>
      </c>
      <c r="H55" s="12">
        <f t="shared" si="7"/>
        <v>1.34</v>
      </c>
      <c r="I55" s="12">
        <f t="shared" si="7"/>
        <v>1.206</v>
      </c>
      <c r="J55" s="12">
        <f t="shared" si="7"/>
        <v>1.0720000000000001</v>
      </c>
      <c r="K55" s="12">
        <f t="shared" si="7"/>
        <v>0.93800000000000006</v>
      </c>
      <c r="L55" s="12">
        <f t="shared" si="7"/>
        <v>0.80400000000000005</v>
      </c>
      <c r="M55" s="37">
        <v>0.67</v>
      </c>
      <c r="N55" s="12">
        <f t="shared" si="7"/>
        <v>0.53600000000000003</v>
      </c>
      <c r="O55" s="12">
        <f t="shared" si="5"/>
        <v>0.40200000000000002</v>
      </c>
      <c r="P55" s="12">
        <f t="shared" si="5"/>
        <v>0.26800000000000002</v>
      </c>
      <c r="Q55" s="12">
        <f t="shared" si="5"/>
        <v>0.13400000000000001</v>
      </c>
      <c r="R55" s="50">
        <f t="shared" si="8"/>
        <v>0</v>
      </c>
      <c r="T55" s="1">
        <f t="shared" si="9"/>
        <v>0.67</v>
      </c>
      <c r="U55" s="1">
        <f t="shared" si="6"/>
        <v>0</v>
      </c>
      <c r="V55" s="90" t="s">
        <v>44</v>
      </c>
      <c r="W55" s="91">
        <f>INDEX(LINEST(T55:U55,(T$44:U$44)^{1}),1)</f>
        <v>-0.13400000000000001</v>
      </c>
      <c r="X55" s="91">
        <f>INDEX(LINEST(T55:U55,(T$44:U$44)^{1}),1,2)</f>
        <v>0.80400000000000005</v>
      </c>
    </row>
    <row r="56" spans="1:24" x14ac:dyDescent="0.25">
      <c r="A56" s="83"/>
      <c r="B56" s="4">
        <v>50</v>
      </c>
      <c r="C56" s="1">
        <v>0.71</v>
      </c>
      <c r="D56" s="1">
        <f t="shared" si="2"/>
        <v>0.69</v>
      </c>
      <c r="E56" s="1"/>
      <c r="F56" s="49">
        <f t="shared" si="3"/>
        <v>0.98550724637681175</v>
      </c>
      <c r="G56" s="12">
        <f t="shared" si="7"/>
        <v>1.496</v>
      </c>
      <c r="H56" s="12">
        <f t="shared" si="7"/>
        <v>1.36</v>
      </c>
      <c r="I56" s="12">
        <f t="shared" si="7"/>
        <v>1.2240000000000002</v>
      </c>
      <c r="J56" s="12">
        <f t="shared" si="7"/>
        <v>1.0880000000000001</v>
      </c>
      <c r="K56" s="12">
        <f t="shared" si="7"/>
        <v>0.95200000000000007</v>
      </c>
      <c r="L56" s="12">
        <f t="shared" si="7"/>
        <v>0.81600000000000006</v>
      </c>
      <c r="M56" s="37">
        <v>0.68</v>
      </c>
      <c r="N56" s="12">
        <f t="shared" si="7"/>
        <v>0.54400000000000004</v>
      </c>
      <c r="O56" s="12">
        <f t="shared" si="5"/>
        <v>0.40800000000000003</v>
      </c>
      <c r="P56" s="12">
        <f t="shared" si="5"/>
        <v>0.27200000000000002</v>
      </c>
      <c r="Q56" s="12">
        <f t="shared" si="5"/>
        <v>0.13600000000000001</v>
      </c>
      <c r="R56" s="50">
        <f t="shared" si="8"/>
        <v>0</v>
      </c>
      <c r="T56" s="1">
        <f t="shared" si="9"/>
        <v>0.68</v>
      </c>
      <c r="U56" s="1">
        <f t="shared" si="6"/>
        <v>0</v>
      </c>
      <c r="V56" s="90" t="s">
        <v>44</v>
      </c>
      <c r="W56" s="91">
        <f>INDEX(LINEST(T56:U56,(T$44:U$44)^{1}),1)</f>
        <v>-0.13600000000000001</v>
      </c>
      <c r="X56" s="91">
        <f>INDEX(LINEST(T56:U56,(T$44:U$44)^{1}),1,2)</f>
        <v>0.81600000000000006</v>
      </c>
    </row>
    <row r="57" spans="1:24" x14ac:dyDescent="0.25">
      <c r="A57" s="83"/>
      <c r="B57" s="4">
        <v>60</v>
      </c>
      <c r="C57" s="1">
        <v>0.72</v>
      </c>
      <c r="D57" s="1">
        <f t="shared" si="2"/>
        <v>0.7</v>
      </c>
      <c r="E57" s="1"/>
      <c r="F57" s="49">
        <f t="shared" si="3"/>
        <v>0.98684210526315774</v>
      </c>
      <c r="G57" s="12">
        <f t="shared" si="7"/>
        <v>1.5179999999999996</v>
      </c>
      <c r="H57" s="12">
        <f t="shared" si="7"/>
        <v>1.3799999999999997</v>
      </c>
      <c r="I57" s="12">
        <f t="shared" si="7"/>
        <v>1.2419999999999998</v>
      </c>
      <c r="J57" s="12">
        <f t="shared" si="7"/>
        <v>1.1039999999999996</v>
      </c>
      <c r="K57" s="12">
        <f t="shared" si="7"/>
        <v>0.96599999999999975</v>
      </c>
      <c r="L57" s="12">
        <f t="shared" si="7"/>
        <v>0.82799999999999985</v>
      </c>
      <c r="M57" s="37">
        <v>0.69</v>
      </c>
      <c r="N57" s="12">
        <f t="shared" si="7"/>
        <v>0.55199999999999994</v>
      </c>
      <c r="O57" s="12">
        <f t="shared" si="5"/>
        <v>0.41399999999999998</v>
      </c>
      <c r="P57" s="12">
        <f t="shared" si="5"/>
        <v>0.27600000000000002</v>
      </c>
      <c r="Q57" s="12">
        <f t="shared" si="5"/>
        <v>0.13800000000000012</v>
      </c>
      <c r="R57" s="50">
        <f t="shared" si="8"/>
        <v>0</v>
      </c>
      <c r="T57" s="1">
        <f t="shared" si="9"/>
        <v>0.69</v>
      </c>
      <c r="U57" s="1">
        <f t="shared" si="6"/>
        <v>0</v>
      </c>
      <c r="V57" s="90" t="s">
        <v>44</v>
      </c>
      <c r="W57" s="91">
        <f>INDEX(LINEST(T57:U57,(T$44:U$44)^{1}),1)</f>
        <v>-0.13799999999999996</v>
      </c>
      <c r="X57" s="91">
        <f>INDEX(LINEST(T57:U57,(T$44:U$44)^{1}),1,2)</f>
        <v>0.82799999999999985</v>
      </c>
    </row>
    <row r="58" spans="1:24" x14ac:dyDescent="0.25">
      <c r="A58" s="83"/>
      <c r="B58" s="4">
        <v>70</v>
      </c>
      <c r="C58" s="5">
        <v>0.72</v>
      </c>
      <c r="D58" s="5">
        <f t="shared" si="2"/>
        <v>0.7</v>
      </c>
      <c r="E58" s="1"/>
      <c r="F58" s="52">
        <f>M58/M58</f>
        <v>1</v>
      </c>
      <c r="G58" s="53">
        <f t="shared" si="7"/>
        <v>1.5382400000000001</v>
      </c>
      <c r="H58" s="53">
        <f t="shared" si="7"/>
        <v>1.3984000000000001</v>
      </c>
      <c r="I58" s="53">
        <f t="shared" si="7"/>
        <v>1.2585600000000001</v>
      </c>
      <c r="J58" s="53">
        <f t="shared" si="7"/>
        <v>1.1187199999999999</v>
      </c>
      <c r="K58" s="53">
        <f t="shared" si="7"/>
        <v>0.97887999999999997</v>
      </c>
      <c r="L58" s="53">
        <f t="shared" si="7"/>
        <v>0.83904000000000001</v>
      </c>
      <c r="M58" s="75">
        <v>0.69920000000000004</v>
      </c>
      <c r="N58" s="53">
        <f t="shared" si="7"/>
        <v>0.55936000000000008</v>
      </c>
      <c r="O58" s="53">
        <f t="shared" si="5"/>
        <v>0.41952</v>
      </c>
      <c r="P58" s="53">
        <f t="shared" si="5"/>
        <v>0.27968000000000004</v>
      </c>
      <c r="Q58" s="53">
        <f t="shared" si="5"/>
        <v>0.13984000000000008</v>
      </c>
      <c r="R58" s="54">
        <f t="shared" si="8"/>
        <v>0</v>
      </c>
      <c r="T58" s="1">
        <f t="shared" si="9"/>
        <v>0.69920000000000004</v>
      </c>
      <c r="U58" s="1">
        <f t="shared" si="6"/>
        <v>0</v>
      </c>
      <c r="V58" s="90" t="s">
        <v>44</v>
      </c>
      <c r="W58" s="91">
        <f>INDEX(LINEST(T58:U58,(T$44:U$44)^{1}),1)</f>
        <v>-0.13983999999999999</v>
      </c>
      <c r="X58" s="91">
        <f>INDEX(LINEST(T58:U58,(T$44:U$44)^{1}),1,2)</f>
        <v>0.83904000000000001</v>
      </c>
    </row>
    <row r="59" spans="1:24" x14ac:dyDescent="0.25">
      <c r="A59" s="83"/>
      <c r="T59" s="1"/>
      <c r="U59" s="1"/>
      <c r="V59" s="90"/>
    </row>
    <row r="60" spans="1:24" ht="15.75" x14ac:dyDescent="0.25">
      <c r="D60" s="20" t="s">
        <v>78</v>
      </c>
      <c r="T60" s="189" t="s">
        <v>131</v>
      </c>
      <c r="U60" s="1"/>
      <c r="V60" s="90"/>
    </row>
    <row r="61" spans="1:24" ht="15.75" x14ac:dyDescent="0.25">
      <c r="D61" s="20" t="s">
        <v>99</v>
      </c>
      <c r="T61" s="189" t="s">
        <v>132</v>
      </c>
      <c r="U61" s="1"/>
      <c r="V61" s="90"/>
    </row>
    <row r="62" spans="1:24" x14ac:dyDescent="0.25">
      <c r="D62" s="20" t="s">
        <v>100</v>
      </c>
      <c r="T62" s="1"/>
      <c r="U62" s="1"/>
      <c r="V62" s="90"/>
    </row>
    <row r="63" spans="1:24" x14ac:dyDescent="0.25">
      <c r="D63" s="20"/>
      <c r="T63" s="1"/>
      <c r="U63" s="1"/>
      <c r="V63" s="90"/>
    </row>
    <row r="64" spans="1:24" x14ac:dyDescent="0.25">
      <c r="I64" s="190" t="s">
        <v>134</v>
      </c>
      <c r="J64" s="190"/>
      <c r="K64" s="190"/>
    </row>
    <row r="65" spans="2:25" x14ac:dyDescent="0.25">
      <c r="B65" s="188" t="s">
        <v>130</v>
      </c>
      <c r="H65" s="4" t="s">
        <v>9</v>
      </c>
      <c r="J65" s="178" t="s">
        <v>61</v>
      </c>
      <c r="K65" s="178" t="s">
        <v>62</v>
      </c>
      <c r="L65" s="178" t="s">
        <v>63</v>
      </c>
      <c r="M65" s="178" t="s">
        <v>40</v>
      </c>
      <c r="N65" s="178" t="s">
        <v>64</v>
      </c>
      <c r="O65" s="178" t="s">
        <v>65</v>
      </c>
      <c r="P65" s="178" t="s">
        <v>66</v>
      </c>
      <c r="Q65" s="178" t="s">
        <v>67</v>
      </c>
      <c r="T65" s="122" t="s">
        <v>133</v>
      </c>
    </row>
    <row r="66" spans="2:25" x14ac:dyDescent="0.25">
      <c r="B66" s="174" t="s">
        <v>135</v>
      </c>
      <c r="H66" s="4">
        <v>1</v>
      </c>
      <c r="J66" s="63"/>
      <c r="K66" s="63">
        <f t="shared" ref="K66:P77" si="10">(K47*$D$122*SQRT(4*$D$124*$B$128/32.2)/12)*$H66/2</f>
        <v>1.8934865841615494</v>
      </c>
      <c r="L66" s="63">
        <f t="shared" si="10"/>
        <v>1.6229885007098994</v>
      </c>
      <c r="M66" s="63">
        <f t="shared" si="10"/>
        <v>1.3524904172582495</v>
      </c>
      <c r="N66" s="63">
        <f t="shared" si="10"/>
        <v>1.0819923338065995</v>
      </c>
      <c r="O66" s="63">
        <f t="shared" si="10"/>
        <v>0.81149425035494971</v>
      </c>
      <c r="P66" s="63">
        <f t="shared" si="10"/>
        <v>0.54099616690329977</v>
      </c>
      <c r="Q66" s="63"/>
      <c r="R66" s="63"/>
      <c r="T66" s="11">
        <f>'curve_rzeta_targetnu_add_2.5'!N58</f>
        <v>1.2447396496164973</v>
      </c>
      <c r="X66" s="146">
        <v>1.2</v>
      </c>
      <c r="Y66" s="3" t="s">
        <v>111</v>
      </c>
    </row>
    <row r="67" spans="2:25" x14ac:dyDescent="0.25">
      <c r="B67" s="174" t="s">
        <v>143</v>
      </c>
      <c r="H67" s="4">
        <v>2</v>
      </c>
      <c r="J67" s="58"/>
      <c r="K67" s="58">
        <f t="shared" si="10"/>
        <v>4.1596043954120985</v>
      </c>
      <c r="L67" s="58">
        <f t="shared" si="10"/>
        <v>3.5653751960675133</v>
      </c>
      <c r="M67" s="58">
        <f t="shared" si="10"/>
        <v>2.9711459967229277</v>
      </c>
      <c r="N67" s="58">
        <f t="shared" si="10"/>
        <v>2.376916797378342</v>
      </c>
      <c r="O67" s="58">
        <f t="shared" si="10"/>
        <v>1.7826875980337566</v>
      </c>
      <c r="P67" s="58">
        <f t="shared" si="10"/>
        <v>1.188458398689171</v>
      </c>
      <c r="Q67" s="58"/>
      <c r="R67" s="58"/>
      <c r="T67" s="11">
        <f>'curve_rzeta_targetnu_add_2.5'!N59</f>
        <v>0.8838636327885101</v>
      </c>
      <c r="X67" s="147">
        <v>0.85</v>
      </c>
    </row>
    <row r="68" spans="2:25" x14ac:dyDescent="0.25">
      <c r="H68" s="4">
        <v>3</v>
      </c>
      <c r="J68" s="67"/>
      <c r="K68" s="67">
        <f t="shared" si="10"/>
        <v>6.772355906280322</v>
      </c>
      <c r="L68" s="67">
        <f t="shared" si="10"/>
        <v>5.8048764910974189</v>
      </c>
      <c r="M68" s="67">
        <f t="shared" si="10"/>
        <v>4.8373970759145175</v>
      </c>
      <c r="N68" s="67">
        <f t="shared" si="10"/>
        <v>3.8699176607316135</v>
      </c>
      <c r="O68" s="67">
        <f t="shared" si="10"/>
        <v>2.9024382455487099</v>
      </c>
      <c r="P68" s="67">
        <f t="shared" si="10"/>
        <v>1.934958830365807</v>
      </c>
      <c r="Q68" s="67"/>
      <c r="R68" s="67"/>
      <c r="T68" s="11">
        <f>'curve_rzeta_targetnu_add_2.5'!N60</f>
        <v>0.79023766240980053</v>
      </c>
      <c r="X68" s="147">
        <v>0.75</v>
      </c>
    </row>
    <row r="69" spans="2:25" x14ac:dyDescent="0.25">
      <c r="H69" s="4">
        <v>4</v>
      </c>
      <c r="J69" s="58"/>
      <c r="K69" s="58">
        <f>(K50*$D$122*SQRT(4*$D$124*$B$128/32.2)/12)*$H69/2</f>
        <v>9.6364168493713613</v>
      </c>
      <c r="L69" s="58">
        <f t="shared" si="10"/>
        <v>8.2597858708897398</v>
      </c>
      <c r="M69" s="58">
        <f t="shared" si="10"/>
        <v>6.8831548924081174</v>
      </c>
      <c r="N69" s="58">
        <f t="shared" si="10"/>
        <v>5.5065239139264932</v>
      </c>
      <c r="O69" s="58">
        <f t="shared" si="10"/>
        <v>4.1298929354448708</v>
      </c>
      <c r="P69" s="58">
        <f t="shared" si="10"/>
        <v>2.7532619569632479</v>
      </c>
      <c r="Q69" s="58"/>
      <c r="R69" s="58"/>
      <c r="T69" s="11">
        <f>'curve_rzeta_targetnu_add_2.5'!N61</f>
        <v>0.75792433387709501</v>
      </c>
      <c r="X69" s="147">
        <v>0.72</v>
      </c>
    </row>
    <row r="70" spans="2:25" x14ac:dyDescent="0.25">
      <c r="H70" s="4">
        <v>5</v>
      </c>
      <c r="J70" s="58"/>
      <c r="K70" s="58">
        <f t="shared" si="10"/>
        <v>12.67379464227124</v>
      </c>
      <c r="L70" s="58">
        <f t="shared" si="10"/>
        <v>10.863252550518204</v>
      </c>
      <c r="M70" s="58">
        <f t="shared" si="10"/>
        <v>9.052710458765171</v>
      </c>
      <c r="N70" s="58">
        <f t="shared" si="10"/>
        <v>7.2421683670121348</v>
      </c>
      <c r="O70" s="58">
        <f t="shared" si="10"/>
        <v>5.4316262752591022</v>
      </c>
      <c r="P70" s="58">
        <f t="shared" si="10"/>
        <v>3.6210841835060692</v>
      </c>
      <c r="Q70" s="58"/>
      <c r="R70" s="58"/>
      <c r="T70" s="11">
        <f>'curve_rzeta_targetnu_add_2.5'!N62</f>
        <v>0.74653614732665752</v>
      </c>
      <c r="X70" s="147">
        <v>0.71</v>
      </c>
    </row>
    <row r="71" spans="2:25" x14ac:dyDescent="0.25">
      <c r="H71" s="4">
        <v>10</v>
      </c>
      <c r="J71" s="67"/>
      <c r="K71" s="67">
        <f t="shared" si="10"/>
        <v>27.080757782630851</v>
      </c>
      <c r="L71" s="67">
        <f t="shared" si="10"/>
        <v>23.212078099397875</v>
      </c>
      <c r="M71" s="67">
        <f t="shared" si="10"/>
        <v>19.343398416164892</v>
      </c>
      <c r="N71" s="67">
        <f t="shared" si="10"/>
        <v>15.474718732931915</v>
      </c>
      <c r="O71" s="67">
        <f t="shared" si="10"/>
        <v>11.606039049698937</v>
      </c>
      <c r="P71" s="67">
        <f t="shared" si="10"/>
        <v>7.7373593664659577</v>
      </c>
      <c r="Q71" s="67"/>
      <c r="R71" s="67"/>
      <c r="T71" s="11">
        <f>'curve_rzeta_targetnu_add_2.5'!N63</f>
        <v>0.70576020044511412</v>
      </c>
      <c r="X71" s="147">
        <v>0.7</v>
      </c>
    </row>
    <row r="72" spans="2:25" x14ac:dyDescent="0.25">
      <c r="H72" s="4">
        <v>20</v>
      </c>
      <c r="J72" s="58"/>
      <c r="K72" s="58">
        <f t="shared" si="10"/>
        <v>56.327976187872153</v>
      </c>
      <c r="L72" s="58">
        <f t="shared" si="10"/>
        <v>48.281122446747567</v>
      </c>
      <c r="M72" s="58">
        <f t="shared" si="10"/>
        <v>40.234268705622981</v>
      </c>
      <c r="N72" s="58">
        <f t="shared" si="10"/>
        <v>32.18741496449838</v>
      </c>
      <c r="O72" s="58">
        <f t="shared" si="10"/>
        <v>24.140561223373783</v>
      </c>
      <c r="P72" s="58">
        <f t="shared" si="10"/>
        <v>16.093707482249194</v>
      </c>
      <c r="Q72" s="58"/>
      <c r="R72" s="58"/>
      <c r="T72" s="11">
        <f>'curve_rzeta_targetnu_add_2.5'!N64</f>
        <v>0.69037210861008391</v>
      </c>
      <c r="X72" s="147">
        <v>0.7</v>
      </c>
    </row>
    <row r="73" spans="2:25" x14ac:dyDescent="0.25">
      <c r="H73" s="4">
        <v>30</v>
      </c>
      <c r="J73" s="58"/>
      <c r="K73" s="58">
        <f t="shared" si="10"/>
        <v>85.791840655374543</v>
      </c>
      <c r="L73" s="58">
        <f t="shared" si="10"/>
        <v>73.535863418892461</v>
      </c>
      <c r="M73" s="58">
        <f t="shared" si="10"/>
        <v>61.279886182410387</v>
      </c>
      <c r="N73" s="58">
        <f t="shared" si="10"/>
        <v>49.023908945928305</v>
      </c>
      <c r="O73" s="58">
        <f t="shared" si="10"/>
        <v>36.767931709446238</v>
      </c>
      <c r="P73" s="58">
        <f t="shared" si="10"/>
        <v>24.511954472964153</v>
      </c>
      <c r="Q73" s="58"/>
      <c r="R73" s="58"/>
      <c r="T73" s="11">
        <f>'curve_rzeta_targetnu_add_2.5'!N65</f>
        <v>0.68690937186698753</v>
      </c>
      <c r="X73" s="147">
        <v>0.7</v>
      </c>
    </row>
    <row r="74" spans="2:25" x14ac:dyDescent="0.25">
      <c r="H74" s="4">
        <v>40</v>
      </c>
      <c r="J74" s="58"/>
      <c r="K74" s="58">
        <f t="shared" si="10"/>
        <v>116.12228937192108</v>
      </c>
      <c r="L74" s="58">
        <f t="shared" si="10"/>
        <v>99.533390890218087</v>
      </c>
      <c r="M74" s="58">
        <f t="shared" si="10"/>
        <v>82.944492408515075</v>
      </c>
      <c r="N74" s="58">
        <f t="shared" si="10"/>
        <v>66.355593926812048</v>
      </c>
      <c r="O74" s="58">
        <f t="shared" si="10"/>
        <v>49.766695445109043</v>
      </c>
      <c r="P74" s="58">
        <f t="shared" si="10"/>
        <v>33.177796963406024</v>
      </c>
      <c r="Q74" s="58"/>
      <c r="R74" s="58"/>
      <c r="T74" s="11">
        <f>'curve_rzeta_targetnu_add_2.5'!N66</f>
        <v>0.69017788510118039</v>
      </c>
      <c r="X74" s="147">
        <v>0.7</v>
      </c>
    </row>
    <row r="75" spans="2:25" x14ac:dyDescent="0.25">
      <c r="H75" s="4">
        <v>50</v>
      </c>
      <c r="J75" s="58"/>
      <c r="K75" s="58">
        <f t="shared" si="10"/>
        <v>147.31932233751186</v>
      </c>
      <c r="L75" s="58">
        <f t="shared" si="10"/>
        <v>126.27370486072445</v>
      </c>
      <c r="M75" s="58">
        <f t="shared" si="10"/>
        <v>105.22808738393705</v>
      </c>
      <c r="N75" s="58">
        <f t="shared" si="10"/>
        <v>84.182469907149624</v>
      </c>
      <c r="O75" s="58">
        <f t="shared" si="10"/>
        <v>63.136852430362225</v>
      </c>
      <c r="P75" s="58">
        <f t="shared" si="10"/>
        <v>42.091234953574812</v>
      </c>
      <c r="Q75" s="58"/>
      <c r="R75" s="58"/>
      <c r="T75" s="11">
        <f>'curve_rzeta_targetnu_add_2.5'!N67</f>
        <v>0.69613889832628906</v>
      </c>
      <c r="X75" s="147">
        <v>0.7</v>
      </c>
    </row>
    <row r="76" spans="2:25" x14ac:dyDescent="0.25">
      <c r="H76" s="4">
        <v>60</v>
      </c>
      <c r="J76" s="58"/>
      <c r="K76" s="58">
        <f t="shared" si="10"/>
        <v>179.38293955214672</v>
      </c>
      <c r="L76" s="58">
        <f t="shared" si="10"/>
        <v>153.75680533041148</v>
      </c>
      <c r="M76" s="58">
        <f t="shared" si="10"/>
        <v>128.13067110867627</v>
      </c>
      <c r="N76" s="58">
        <f t="shared" si="10"/>
        <v>102.504536886941</v>
      </c>
      <c r="O76" s="58">
        <f t="shared" si="10"/>
        <v>76.878402665205741</v>
      </c>
      <c r="P76" s="58">
        <f t="shared" si="10"/>
        <v>51.25226844347052</v>
      </c>
      <c r="Q76" s="58"/>
      <c r="R76" s="58"/>
      <c r="T76" s="11">
        <f>'curve_rzeta_targetnu_add_2.5'!N68</f>
        <v>0.70344616154685569</v>
      </c>
      <c r="X76" s="147">
        <v>0.7</v>
      </c>
    </row>
    <row r="77" spans="2:25" x14ac:dyDescent="0.25">
      <c r="H77" s="4">
        <v>70</v>
      </c>
      <c r="J77" s="67"/>
      <c r="K77" s="67">
        <f t="shared" si="10"/>
        <v>212.07049742609351</v>
      </c>
      <c r="L77" s="67">
        <f t="shared" si="10"/>
        <v>181.77471207950873</v>
      </c>
      <c r="M77" s="67">
        <f t="shared" si="10"/>
        <v>151.47892673292392</v>
      </c>
      <c r="N77" s="67">
        <f t="shared" si="10"/>
        <v>121.18314138633916</v>
      </c>
      <c r="O77" s="67">
        <f t="shared" si="10"/>
        <v>90.887356039754366</v>
      </c>
      <c r="P77" s="67">
        <f t="shared" si="10"/>
        <v>60.591570693169579</v>
      </c>
      <c r="Q77" s="67"/>
      <c r="R77" s="67"/>
      <c r="T77" s="11">
        <f>'curve_rzeta_targetnu_add_2.5'!N69</f>
        <v>0.71072272942219372</v>
      </c>
      <c r="X77" s="148">
        <v>0.7</v>
      </c>
    </row>
    <row r="78" spans="2:25" x14ac:dyDescent="0.25">
      <c r="M78" s="114"/>
      <c r="S78" t="s">
        <v>137</v>
      </c>
    </row>
    <row r="79" spans="2:25" x14ac:dyDescent="0.25">
      <c r="M79" s="114"/>
    </row>
    <row r="81" spans="1:25" ht="15.75" thickBot="1" x14ac:dyDescent="0.3">
      <c r="A81" s="141"/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2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</row>
    <row r="82" spans="1:25" ht="15.75" thickTop="1" x14ac:dyDescent="0.25"/>
    <row r="84" spans="1:25" x14ac:dyDescent="0.25">
      <c r="A84" t="s">
        <v>73</v>
      </c>
      <c r="B84" t="s">
        <v>74</v>
      </c>
    </row>
    <row r="85" spans="1:25" x14ac:dyDescent="0.25">
      <c r="B85" s="20" t="s">
        <v>75</v>
      </c>
    </row>
    <row r="86" spans="1:25" x14ac:dyDescent="0.25">
      <c r="A86" s="83"/>
      <c r="B86" s="20"/>
    </row>
    <row r="87" spans="1:25" x14ac:dyDescent="0.25">
      <c r="A87" s="83"/>
      <c r="B87" s="135">
        <v>0.14460000000000001</v>
      </c>
      <c r="D87">
        <v>0.14460999999999999</v>
      </c>
    </row>
    <row r="88" spans="1:25" x14ac:dyDescent="0.25">
      <c r="A88" s="83"/>
      <c r="B88" s="85">
        <v>1</v>
      </c>
    </row>
    <row r="89" spans="1:25" x14ac:dyDescent="0.25">
      <c r="A89" s="83">
        <v>1</v>
      </c>
      <c r="B89" s="86">
        <f>B88+B$87</f>
        <v>1.1446000000000001</v>
      </c>
      <c r="H89" s="7"/>
      <c r="L89" s="21"/>
      <c r="M89" s="31" t="s">
        <v>38</v>
      </c>
      <c r="N89" s="32">
        <f>B89</f>
        <v>1.1446000000000001</v>
      </c>
      <c r="O89" s="32">
        <f>B90</f>
        <v>1.2892000000000001</v>
      </c>
      <c r="P89" s="32">
        <f>B91</f>
        <v>1.4338000000000002</v>
      </c>
      <c r="Q89" s="32">
        <f>B92</f>
        <v>1.5784000000000002</v>
      </c>
      <c r="R89" s="32">
        <f>B93</f>
        <v>1.7230000000000003</v>
      </c>
      <c r="S89" s="33"/>
    </row>
    <row r="90" spans="1:25" x14ac:dyDescent="0.25">
      <c r="A90" s="83">
        <v>2</v>
      </c>
      <c r="B90" s="86">
        <f t="shared" ref="B90:B94" si="11">B89+B$87</f>
        <v>1.2892000000000001</v>
      </c>
      <c r="L90" s="34"/>
      <c r="M90" s="35">
        <v>1</v>
      </c>
      <c r="N90" s="35">
        <v>2</v>
      </c>
      <c r="O90" s="35">
        <v>3</v>
      </c>
      <c r="P90" s="35">
        <v>4</v>
      </c>
      <c r="Q90" s="35">
        <v>5</v>
      </c>
      <c r="R90" s="35">
        <v>6</v>
      </c>
      <c r="S90" s="36"/>
    </row>
    <row r="91" spans="1:25" x14ac:dyDescent="0.25">
      <c r="A91" s="83">
        <v>3</v>
      </c>
      <c r="B91" s="86">
        <f t="shared" si="11"/>
        <v>1.4338000000000002</v>
      </c>
      <c r="K91" s="2" t="s">
        <v>76</v>
      </c>
      <c r="L91" s="24"/>
      <c r="M91" s="124">
        <v>0.4</v>
      </c>
      <c r="N91" s="11">
        <f>$M91*N89</f>
        <v>0.45784000000000002</v>
      </c>
      <c r="O91" s="11">
        <f>$M91*O89</f>
        <v>0.51568000000000003</v>
      </c>
      <c r="P91" s="11">
        <f>$M91*P89</f>
        <v>0.57352000000000014</v>
      </c>
      <c r="Q91" s="11">
        <f>$M91*Q89</f>
        <v>0.63136000000000014</v>
      </c>
      <c r="R91" s="130">
        <f>$M91*R89</f>
        <v>0.68920000000000015</v>
      </c>
      <c r="S91" s="36" t="s">
        <v>39</v>
      </c>
      <c r="T91" s="140">
        <f>R91/M113</f>
        <v>1.0000000000000002</v>
      </c>
      <c r="U91">
        <f>B87/T91</f>
        <v>0.14459999999999998</v>
      </c>
    </row>
    <row r="92" spans="1:25" x14ac:dyDescent="0.25">
      <c r="A92" s="83">
        <v>4</v>
      </c>
      <c r="B92" s="86">
        <f t="shared" si="11"/>
        <v>1.5784000000000002</v>
      </c>
      <c r="L92" s="26"/>
      <c r="M92" s="38">
        <f t="shared" ref="M92:R92" si="12">M91</f>
        <v>0.4</v>
      </c>
      <c r="N92" s="38">
        <f t="shared" si="12"/>
        <v>0.45784000000000002</v>
      </c>
      <c r="O92" s="38">
        <f t="shared" si="12"/>
        <v>0.51568000000000003</v>
      </c>
      <c r="P92" s="38">
        <f t="shared" si="12"/>
        <v>0.57352000000000014</v>
      </c>
      <c r="Q92" s="38">
        <f t="shared" si="12"/>
        <v>0.63136000000000014</v>
      </c>
      <c r="R92" s="38">
        <f t="shared" si="12"/>
        <v>0.68920000000000015</v>
      </c>
      <c r="S92" s="39" t="s">
        <v>42</v>
      </c>
    </row>
    <row r="93" spans="1:25" x14ac:dyDescent="0.25">
      <c r="A93" s="83">
        <v>5</v>
      </c>
      <c r="B93" s="86">
        <f t="shared" si="11"/>
        <v>1.7230000000000003</v>
      </c>
    </row>
    <row r="94" spans="1:25" x14ac:dyDescent="0.25">
      <c r="A94" s="83">
        <v>6</v>
      </c>
      <c r="B94" s="86">
        <f t="shared" si="11"/>
        <v>1.8676000000000004</v>
      </c>
      <c r="D94" t="s">
        <v>72</v>
      </c>
      <c r="K94" s="20" t="s">
        <v>154</v>
      </c>
      <c r="L94" s="18"/>
    </row>
    <row r="95" spans="1:25" x14ac:dyDescent="0.25">
      <c r="A95" s="83"/>
      <c r="B95" s="86"/>
      <c r="F95" s="40" t="s">
        <v>101</v>
      </c>
      <c r="G95" s="22"/>
      <c r="H95" s="22"/>
      <c r="I95" s="22"/>
      <c r="J95" s="22"/>
      <c r="K95" s="210" t="s">
        <v>119</v>
      </c>
      <c r="L95" s="211"/>
      <c r="M95" s="22"/>
      <c r="N95" s="167" t="s">
        <v>109</v>
      </c>
      <c r="O95" s="23"/>
      <c r="P95" s="22"/>
      <c r="Q95" s="55" t="s">
        <v>45</v>
      </c>
      <c r="R95" s="23"/>
    </row>
    <row r="96" spans="1:25" x14ac:dyDescent="0.25">
      <c r="A96" s="83"/>
      <c r="B96" s="86"/>
      <c r="F96" s="183"/>
      <c r="K96" s="187" t="s">
        <v>123</v>
      </c>
      <c r="L96" s="212"/>
      <c r="N96" s="184"/>
      <c r="O96" s="25"/>
      <c r="Q96" s="186"/>
      <c r="R96" s="25"/>
    </row>
    <row r="97" spans="1:26" x14ac:dyDescent="0.25">
      <c r="A97" s="83"/>
      <c r="B97" s="20"/>
      <c r="F97" s="24"/>
      <c r="K97" s="207" t="s">
        <v>124</v>
      </c>
      <c r="L97" s="24"/>
      <c r="O97" s="25"/>
      <c r="R97" s="25"/>
    </row>
    <row r="98" spans="1:26" x14ac:dyDescent="0.25">
      <c r="A98" s="83"/>
      <c r="F98" s="41"/>
      <c r="G98" s="42"/>
      <c r="H98" s="42"/>
      <c r="I98" s="42"/>
      <c r="J98" s="42"/>
      <c r="K98" s="42"/>
      <c r="L98" s="172" t="s">
        <v>147</v>
      </c>
      <c r="M98" s="42" t="s">
        <v>148</v>
      </c>
      <c r="N98" s="42" t="s">
        <v>149</v>
      </c>
      <c r="O98" s="173" t="s">
        <v>150</v>
      </c>
      <c r="P98" s="42"/>
      <c r="Q98" s="42"/>
      <c r="R98" s="43"/>
    </row>
    <row r="99" spans="1:26" x14ac:dyDescent="0.25">
      <c r="A99" s="83"/>
      <c r="C99" s="73" t="s">
        <v>34</v>
      </c>
      <c r="F99" s="44"/>
      <c r="G99" s="4">
        <v>-5</v>
      </c>
      <c r="H99" s="4">
        <v>-4</v>
      </c>
      <c r="I99" s="4">
        <v>-3</v>
      </c>
      <c r="J99" s="4">
        <v>-2</v>
      </c>
      <c r="K99" s="4">
        <v>-1</v>
      </c>
      <c r="L99" s="44">
        <v>0</v>
      </c>
      <c r="M99" s="4">
        <v>1</v>
      </c>
      <c r="N99" s="4">
        <v>2</v>
      </c>
      <c r="O99" s="45">
        <v>3</v>
      </c>
      <c r="P99" s="4">
        <v>4</v>
      </c>
      <c r="Q99" s="4">
        <v>5</v>
      </c>
      <c r="R99" s="45">
        <v>6</v>
      </c>
      <c r="T99" s="4">
        <v>1</v>
      </c>
      <c r="U99" s="4">
        <v>6</v>
      </c>
    </row>
    <row r="100" spans="1:26" x14ac:dyDescent="0.25">
      <c r="A100" s="83"/>
      <c r="B100" s="4"/>
      <c r="C100" s="4" t="s">
        <v>10</v>
      </c>
      <c r="D100" s="87" t="s">
        <v>37</v>
      </c>
      <c r="E100" s="73"/>
      <c r="F100" s="24"/>
      <c r="L100" s="24"/>
      <c r="N100" s="46" t="s">
        <v>43</v>
      </c>
      <c r="O100" s="25"/>
      <c r="R100" s="25"/>
      <c r="T100" t="s">
        <v>129</v>
      </c>
    </row>
    <row r="101" spans="1:26" x14ac:dyDescent="0.25">
      <c r="A101" s="83"/>
      <c r="B101" s="4" t="s">
        <v>9</v>
      </c>
      <c r="C101" s="88" t="s">
        <v>36</v>
      </c>
      <c r="D101" s="89">
        <v>-0.02</v>
      </c>
      <c r="E101" s="74"/>
      <c r="F101" s="24"/>
      <c r="G101" s="47"/>
      <c r="H101" s="47"/>
      <c r="I101" s="47"/>
      <c r="J101" s="47"/>
      <c r="K101" s="47"/>
      <c r="L101" s="162"/>
      <c r="M101" s="144">
        <f>M91</f>
        <v>0.4</v>
      </c>
      <c r="N101" s="144">
        <f>N91</f>
        <v>0.45784000000000002</v>
      </c>
      <c r="O101" s="145">
        <f t="shared" ref="O101:R101" si="13">O91</f>
        <v>0.51568000000000003</v>
      </c>
      <c r="P101" s="144">
        <f t="shared" si="13"/>
        <v>0.57352000000000014</v>
      </c>
      <c r="Q101" s="144">
        <f t="shared" si="13"/>
        <v>0.63136000000000014</v>
      </c>
      <c r="R101" s="145">
        <f t="shared" si="13"/>
        <v>0.68920000000000015</v>
      </c>
    </row>
    <row r="102" spans="1:26" x14ac:dyDescent="0.25">
      <c r="A102" s="83"/>
      <c r="B102" s="4">
        <v>1</v>
      </c>
      <c r="C102" s="6">
        <v>0.78</v>
      </c>
      <c r="D102" s="6">
        <f>C102+$D$101</f>
        <v>0.76</v>
      </c>
      <c r="E102" s="11">
        <f>M47/M102</f>
        <v>1.0925</v>
      </c>
      <c r="F102" s="49">
        <f t="shared" ref="F102:F112" si="14">M102/M103</f>
        <v>0.89686098654708524</v>
      </c>
      <c r="G102" s="13">
        <f>($W102*G$44)+$X102</f>
        <v>5.2959999999999952E-2</v>
      </c>
      <c r="H102" s="13">
        <f t="shared" ref="H102:K102" si="15">($W102*H$44)+$X102</f>
        <v>0.11079999999999998</v>
      </c>
      <c r="I102" s="13">
        <f t="shared" si="15"/>
        <v>0.16863999999999998</v>
      </c>
      <c r="J102" s="13">
        <f t="shared" si="15"/>
        <v>0.22648000000000001</v>
      </c>
      <c r="K102" s="13">
        <f t="shared" si="15"/>
        <v>0.28432000000000002</v>
      </c>
      <c r="L102" s="163">
        <f>($W102*L$44)+$X102</f>
        <v>0.34216000000000002</v>
      </c>
      <c r="M102" s="136">
        <v>0.4</v>
      </c>
      <c r="N102" s="13">
        <f>($W102*N$44)+$X102</f>
        <v>0.45784000000000002</v>
      </c>
      <c r="O102" s="76">
        <f t="shared" ref="O102:Q113" si="16">($W102*O$44)+$X102</f>
        <v>0.51568000000000003</v>
      </c>
      <c r="P102" s="13">
        <f t="shared" si="16"/>
        <v>0.57352000000000003</v>
      </c>
      <c r="Q102" s="13">
        <f t="shared" si="16"/>
        <v>0.63136000000000014</v>
      </c>
      <c r="R102" s="131">
        <f>$R$91</f>
        <v>0.68920000000000015</v>
      </c>
      <c r="S102" s="124"/>
      <c r="T102" s="11">
        <f>M102</f>
        <v>0.4</v>
      </c>
      <c r="U102" s="11">
        <f t="shared" ref="U102:U112" si="17">R102</f>
        <v>0.68920000000000015</v>
      </c>
      <c r="V102" s="90" t="s">
        <v>44</v>
      </c>
      <c r="W102" s="91">
        <f>INDEX(LINEST(T102:U102,(T$44:U$44)^{1}),1)</f>
        <v>5.7840000000000009E-2</v>
      </c>
      <c r="X102" s="91">
        <f>INDEX(LINEST(T102:U102,(T$44:U$44)^{1}),1,2)</f>
        <v>0.34216000000000002</v>
      </c>
      <c r="Z102" s="136">
        <v>0.4</v>
      </c>
    </row>
    <row r="103" spans="1:26" x14ac:dyDescent="0.25">
      <c r="A103" s="83"/>
      <c r="B103" s="4">
        <v>2</v>
      </c>
      <c r="C103" s="1">
        <v>0.56999999999999995</v>
      </c>
      <c r="D103" s="1">
        <f t="shared" ref="D103:D113" si="18">C103+$D$101</f>
        <v>0.54999999999999993</v>
      </c>
      <c r="E103" s="11">
        <f t="shared" ref="E103:E113" si="19">M48/M103</f>
        <v>1.0762331838565022</v>
      </c>
      <c r="F103" s="49">
        <f t="shared" si="14"/>
        <v>0.92723492723492729</v>
      </c>
      <c r="G103" s="12">
        <f t="shared" ref="G103:N113" si="20">($W103*G$44)+$X103</f>
        <v>0.15415999999999999</v>
      </c>
      <c r="H103" s="12">
        <f t="shared" si="20"/>
        <v>0.20280000000000001</v>
      </c>
      <c r="I103" s="12">
        <f t="shared" si="20"/>
        <v>0.25144</v>
      </c>
      <c r="J103" s="12">
        <f t="shared" si="20"/>
        <v>0.30008000000000001</v>
      </c>
      <c r="K103" s="12">
        <f t="shared" si="20"/>
        <v>0.34872000000000003</v>
      </c>
      <c r="L103" s="164">
        <f t="shared" si="20"/>
        <v>0.39736000000000005</v>
      </c>
      <c r="M103" s="137">
        <v>0.44600000000000001</v>
      </c>
      <c r="N103" s="12">
        <f t="shared" si="20"/>
        <v>0.49464000000000008</v>
      </c>
      <c r="O103" s="127">
        <f t="shared" si="16"/>
        <v>0.5432800000000001</v>
      </c>
      <c r="P103" s="12">
        <f t="shared" si="16"/>
        <v>0.59192000000000011</v>
      </c>
      <c r="Q103" s="12">
        <f t="shared" si="16"/>
        <v>0.64056000000000013</v>
      </c>
      <c r="R103" s="132">
        <f t="shared" ref="R103:R113" si="21">$R$91</f>
        <v>0.68920000000000015</v>
      </c>
      <c r="S103" s="124">
        <f>M103-M102</f>
        <v>4.5999999999999985E-2</v>
      </c>
      <c r="T103" s="11">
        <f t="shared" ref="T103:T112" si="22">M103</f>
        <v>0.44600000000000001</v>
      </c>
      <c r="U103" s="11">
        <f t="shared" si="17"/>
        <v>0.68920000000000015</v>
      </c>
      <c r="V103" s="90" t="s">
        <v>44</v>
      </c>
      <c r="W103" s="91">
        <f>INDEX(LINEST(T103:U103,(T$44:U$44)^{1}),1)</f>
        <v>4.864000000000001E-2</v>
      </c>
      <c r="X103" s="91">
        <f>INDEX(LINEST(T103:U103,(T$44:U$44)^{1}),1,2)</f>
        <v>0.39736000000000005</v>
      </c>
      <c r="Z103" s="137">
        <v>0.44600000000000001</v>
      </c>
    </row>
    <row r="104" spans="1:26" x14ac:dyDescent="0.25">
      <c r="A104" s="83"/>
      <c r="B104" s="4">
        <v>3</v>
      </c>
      <c r="C104" s="5">
        <v>0.54</v>
      </c>
      <c r="D104" s="5">
        <f t="shared" si="18"/>
        <v>0.52</v>
      </c>
      <c r="E104" s="11">
        <f t="shared" si="19"/>
        <v>1.0831600831600832</v>
      </c>
      <c r="F104" s="49">
        <f t="shared" si="14"/>
        <v>0.92857142857142849</v>
      </c>
      <c r="G104" s="14">
        <f t="shared" si="20"/>
        <v>0.23115999999999973</v>
      </c>
      <c r="H104" s="14">
        <f t="shared" si="20"/>
        <v>0.27279999999999976</v>
      </c>
      <c r="I104" s="14">
        <f t="shared" si="20"/>
        <v>0.31443999999999983</v>
      </c>
      <c r="J104" s="14">
        <f t="shared" si="20"/>
        <v>0.35607999999999984</v>
      </c>
      <c r="K104" s="14">
        <f t="shared" si="20"/>
        <v>0.39771999999999985</v>
      </c>
      <c r="L104" s="165">
        <f t="shared" si="20"/>
        <v>0.43935999999999992</v>
      </c>
      <c r="M104" s="138">
        <v>0.48099999999999998</v>
      </c>
      <c r="N104" s="14">
        <f t="shared" si="20"/>
        <v>0.52263999999999999</v>
      </c>
      <c r="O104" s="128">
        <f t="shared" si="16"/>
        <v>0.56428</v>
      </c>
      <c r="P104" s="14">
        <f t="shared" si="16"/>
        <v>0.60592000000000001</v>
      </c>
      <c r="Q104" s="14">
        <f t="shared" si="16"/>
        <v>0.64756000000000014</v>
      </c>
      <c r="R104" s="133">
        <f t="shared" si="21"/>
        <v>0.68920000000000015</v>
      </c>
      <c r="S104" s="124">
        <f t="shared" ref="S104:S113" si="23">M104-M103</f>
        <v>3.4999999999999976E-2</v>
      </c>
      <c r="T104" s="11">
        <f t="shared" si="22"/>
        <v>0.48099999999999998</v>
      </c>
      <c r="U104" s="11">
        <f t="shared" si="17"/>
        <v>0.68920000000000015</v>
      </c>
      <c r="V104" s="90" t="s">
        <v>44</v>
      </c>
      <c r="W104" s="91">
        <f>INDEX(LINEST(T104:U104,(T$44:U$44)^{1}),1)</f>
        <v>4.1640000000000038E-2</v>
      </c>
      <c r="X104" s="91">
        <f>INDEX(LINEST(T104:U104,(T$44:U$44)^{1}),1,2)</f>
        <v>0.43935999999999992</v>
      </c>
      <c r="Z104" s="138">
        <v>0.48099999999999998</v>
      </c>
    </row>
    <row r="105" spans="1:26" x14ac:dyDescent="0.25">
      <c r="A105" s="83"/>
      <c r="B105" s="4">
        <v>4</v>
      </c>
      <c r="C105" s="1">
        <v>0.53</v>
      </c>
      <c r="D105" s="1">
        <f t="shared" si="18"/>
        <v>0.51</v>
      </c>
      <c r="E105" s="11">
        <f t="shared" si="19"/>
        <v>1.0733590733590734</v>
      </c>
      <c r="F105" s="49">
        <f t="shared" si="14"/>
        <v>0.94525547445255464</v>
      </c>
      <c r="G105" s="12">
        <f t="shared" si="20"/>
        <v>0.31255999999999995</v>
      </c>
      <c r="H105" s="12">
        <f t="shared" si="20"/>
        <v>0.3468</v>
      </c>
      <c r="I105" s="12">
        <f t="shared" si="20"/>
        <v>0.38104000000000005</v>
      </c>
      <c r="J105" s="12">
        <f t="shared" si="20"/>
        <v>0.41528000000000004</v>
      </c>
      <c r="K105" s="12">
        <f t="shared" si="20"/>
        <v>0.44952000000000003</v>
      </c>
      <c r="L105" s="164">
        <f t="shared" si="20"/>
        <v>0.48376000000000008</v>
      </c>
      <c r="M105" s="137">
        <v>0.51800000000000002</v>
      </c>
      <c r="N105" s="12">
        <f t="shared" si="20"/>
        <v>0.55224000000000006</v>
      </c>
      <c r="O105" s="127">
        <f t="shared" si="16"/>
        <v>0.58648000000000011</v>
      </c>
      <c r="P105" s="12">
        <f t="shared" si="16"/>
        <v>0.62072000000000016</v>
      </c>
      <c r="Q105" s="12">
        <f t="shared" si="16"/>
        <v>0.65496000000000021</v>
      </c>
      <c r="R105" s="132">
        <f t="shared" si="21"/>
        <v>0.68920000000000015</v>
      </c>
      <c r="S105" s="124">
        <f t="shared" si="23"/>
        <v>3.7000000000000033E-2</v>
      </c>
      <c r="T105" s="11">
        <f t="shared" si="22"/>
        <v>0.51800000000000002</v>
      </c>
      <c r="U105" s="11">
        <f t="shared" si="17"/>
        <v>0.68920000000000015</v>
      </c>
      <c r="V105" s="90" t="s">
        <v>44</v>
      </c>
      <c r="W105" s="91">
        <f>INDEX(LINEST(T105:U105,(T$44:U$44)^{1}),1)</f>
        <v>3.424000000000002E-2</v>
      </c>
      <c r="X105" s="91">
        <f>INDEX(LINEST(T105:U105,(T$44:U$44)^{1}),1,2)</f>
        <v>0.48376000000000008</v>
      </c>
      <c r="Z105" s="137">
        <v>0.51800000000000002</v>
      </c>
    </row>
    <row r="106" spans="1:26" x14ac:dyDescent="0.25">
      <c r="A106" s="83"/>
      <c r="B106" s="4">
        <v>5</v>
      </c>
      <c r="C106" s="1">
        <v>0.56000000000000005</v>
      </c>
      <c r="D106" s="1">
        <f t="shared" si="18"/>
        <v>0.54</v>
      </c>
      <c r="E106" s="11">
        <f t="shared" si="19"/>
        <v>1.0675182481751824</v>
      </c>
      <c r="F106" s="49">
        <f t="shared" si="14"/>
        <v>0.88529886914378042</v>
      </c>
      <c r="G106" s="12">
        <f t="shared" si="20"/>
        <v>0.37855999999999995</v>
      </c>
      <c r="H106" s="12">
        <f t="shared" si="20"/>
        <v>0.40679999999999994</v>
      </c>
      <c r="I106" s="12">
        <f t="shared" si="20"/>
        <v>0.43503999999999998</v>
      </c>
      <c r="J106" s="12">
        <f t="shared" si="20"/>
        <v>0.46327999999999997</v>
      </c>
      <c r="K106" s="12">
        <f t="shared" si="20"/>
        <v>0.49152000000000001</v>
      </c>
      <c r="L106" s="164">
        <f t="shared" si="20"/>
        <v>0.51976</v>
      </c>
      <c r="M106" s="137">
        <v>0.54800000000000004</v>
      </c>
      <c r="N106" s="12">
        <f t="shared" si="20"/>
        <v>0.57623999999999997</v>
      </c>
      <c r="O106" s="127">
        <f t="shared" si="16"/>
        <v>0.60448000000000002</v>
      </c>
      <c r="P106" s="12">
        <f t="shared" si="16"/>
        <v>0.63272000000000006</v>
      </c>
      <c r="Q106" s="12">
        <f t="shared" si="16"/>
        <v>0.66095999999999999</v>
      </c>
      <c r="R106" s="132">
        <f t="shared" si="21"/>
        <v>0.68920000000000015</v>
      </c>
      <c r="S106" s="124">
        <f t="shared" si="23"/>
        <v>3.0000000000000027E-2</v>
      </c>
      <c r="T106" s="11">
        <f t="shared" si="22"/>
        <v>0.54800000000000004</v>
      </c>
      <c r="U106" s="11">
        <f t="shared" si="17"/>
        <v>0.68920000000000015</v>
      </c>
      <c r="V106" s="90" t="s">
        <v>44</v>
      </c>
      <c r="W106" s="91">
        <f>INDEX(LINEST(T106:U106,(T$44:U$44)^{1}),1)</f>
        <v>2.8240000000000012E-2</v>
      </c>
      <c r="X106" s="91">
        <f>INDEX(LINEST(T106:U106,(T$44:U$44)^{1}),1,2)</f>
        <v>0.51976</v>
      </c>
      <c r="Z106" s="137">
        <v>0.54800000000000004</v>
      </c>
    </row>
    <row r="107" spans="1:26" x14ac:dyDescent="0.25">
      <c r="A107" s="83"/>
      <c r="B107" s="4">
        <v>10</v>
      </c>
      <c r="C107" s="5">
        <v>0.64</v>
      </c>
      <c r="D107" s="5">
        <f t="shared" si="18"/>
        <v>0.62</v>
      </c>
      <c r="E107" s="11">
        <f t="shared" si="19"/>
        <v>1.0096930533117932</v>
      </c>
      <c r="F107" s="49">
        <f t="shared" si="14"/>
        <v>0.93787878787878787</v>
      </c>
      <c r="G107" s="14">
        <f t="shared" si="20"/>
        <v>0.5347599999999999</v>
      </c>
      <c r="H107" s="14">
        <f t="shared" si="20"/>
        <v>0.54879999999999995</v>
      </c>
      <c r="I107" s="14">
        <f t="shared" si="20"/>
        <v>0.56284000000000001</v>
      </c>
      <c r="J107" s="14">
        <f t="shared" si="20"/>
        <v>0.57688000000000006</v>
      </c>
      <c r="K107" s="14">
        <f>($W107*K$44)+$X107</f>
        <v>0.59092</v>
      </c>
      <c r="L107" s="165">
        <f t="shared" si="20"/>
        <v>0.60496000000000005</v>
      </c>
      <c r="M107" s="138">
        <v>0.61899999999999999</v>
      </c>
      <c r="N107" s="14">
        <f>($W107*N$44)+$X107</f>
        <v>0.63304000000000005</v>
      </c>
      <c r="O107" s="128">
        <f t="shared" si="16"/>
        <v>0.6470800000000001</v>
      </c>
      <c r="P107" s="14">
        <f t="shared" si="16"/>
        <v>0.66112000000000015</v>
      </c>
      <c r="Q107" s="14">
        <f t="shared" si="16"/>
        <v>0.6751600000000002</v>
      </c>
      <c r="R107" s="133">
        <f t="shared" si="21"/>
        <v>0.68920000000000015</v>
      </c>
      <c r="S107" s="124">
        <f t="shared" si="23"/>
        <v>7.0999999999999952E-2</v>
      </c>
      <c r="T107" s="11">
        <f t="shared" si="22"/>
        <v>0.61899999999999999</v>
      </c>
      <c r="U107" s="11">
        <f t="shared" si="17"/>
        <v>0.68920000000000015</v>
      </c>
      <c r="V107" s="90" t="s">
        <v>44</v>
      </c>
      <c r="W107" s="91">
        <f>INDEX(LINEST(T107:U107,(T$44:U$44)^{1}),1)</f>
        <v>1.4040000000000025E-2</v>
      </c>
      <c r="X107" s="91">
        <f>INDEX(LINEST(T107:U107,(T$44:U$44)^{1}),1,2)</f>
        <v>0.60496000000000005</v>
      </c>
      <c r="Z107" s="138">
        <v>0.61899999999999999</v>
      </c>
    </row>
    <row r="108" spans="1:26" x14ac:dyDescent="0.25">
      <c r="A108" s="83"/>
      <c r="B108" s="4">
        <v>20</v>
      </c>
      <c r="C108" s="1">
        <v>0.66</v>
      </c>
      <c r="D108" s="1">
        <f t="shared" si="18"/>
        <v>0.64</v>
      </c>
      <c r="E108" s="11">
        <f t="shared" si="19"/>
        <v>0.98484848484848486</v>
      </c>
      <c r="F108" s="49">
        <f t="shared" si="14"/>
        <v>0.98068350668647841</v>
      </c>
      <c r="G108" s="12">
        <f t="shared" si="20"/>
        <v>0.62495999999999985</v>
      </c>
      <c r="H108" s="12">
        <f t="shared" si="20"/>
        <v>0.63079999999999992</v>
      </c>
      <c r="I108" s="12">
        <f t="shared" si="20"/>
        <v>0.63663999999999987</v>
      </c>
      <c r="J108" s="12">
        <f t="shared" si="20"/>
        <v>0.64247999999999994</v>
      </c>
      <c r="K108" s="12">
        <f t="shared" si="20"/>
        <v>0.6483199999999999</v>
      </c>
      <c r="L108" s="164">
        <f t="shared" si="20"/>
        <v>0.65415999999999996</v>
      </c>
      <c r="M108" s="137">
        <v>0.66</v>
      </c>
      <c r="N108" s="12">
        <f t="shared" si="20"/>
        <v>0.66583999999999999</v>
      </c>
      <c r="O108" s="127">
        <f t="shared" si="16"/>
        <v>0.67168000000000005</v>
      </c>
      <c r="P108" s="12">
        <f t="shared" si="16"/>
        <v>0.67752000000000001</v>
      </c>
      <c r="Q108" s="12">
        <f t="shared" si="16"/>
        <v>0.68336000000000008</v>
      </c>
      <c r="R108" s="132">
        <f t="shared" si="21"/>
        <v>0.68920000000000015</v>
      </c>
      <c r="S108" s="124">
        <f t="shared" si="23"/>
        <v>4.1000000000000036E-2</v>
      </c>
      <c r="T108" s="11">
        <f t="shared" si="22"/>
        <v>0.66</v>
      </c>
      <c r="U108" s="11">
        <f t="shared" si="17"/>
        <v>0.68920000000000015</v>
      </c>
      <c r="V108" s="90" t="s">
        <v>44</v>
      </c>
      <c r="W108" s="91">
        <f>INDEX(LINEST(T108:U108,(T$44:U$44)^{1}),1)</f>
        <v>5.8400000000000223E-3</v>
      </c>
      <c r="X108" s="91">
        <f>INDEX(LINEST(T108:U108,(T$44:U$44)^{1}),1,2)</f>
        <v>0.65415999999999996</v>
      </c>
      <c r="Z108" s="137">
        <v>0.66</v>
      </c>
    </row>
    <row r="109" spans="1:26" x14ac:dyDescent="0.25">
      <c r="A109" s="83"/>
      <c r="B109" s="4">
        <v>30</v>
      </c>
      <c r="C109" s="1">
        <v>0.68</v>
      </c>
      <c r="D109" s="1">
        <f t="shared" si="18"/>
        <v>0.66</v>
      </c>
      <c r="E109" s="11">
        <f t="shared" si="19"/>
        <v>0.98068350668647841</v>
      </c>
      <c r="F109" s="49">
        <f t="shared" si="14"/>
        <v>0.98970588235294121</v>
      </c>
      <c r="G109" s="12">
        <f t="shared" si="20"/>
        <v>0.65355999999999992</v>
      </c>
      <c r="H109" s="12">
        <f t="shared" si="20"/>
        <v>0.65679999999999994</v>
      </c>
      <c r="I109" s="12">
        <f t="shared" si="20"/>
        <v>0.66003999999999996</v>
      </c>
      <c r="J109" s="12">
        <f t="shared" si="20"/>
        <v>0.66327999999999998</v>
      </c>
      <c r="K109" s="12">
        <f t="shared" si="20"/>
        <v>0.66652</v>
      </c>
      <c r="L109" s="164">
        <f t="shared" si="20"/>
        <v>0.66976000000000002</v>
      </c>
      <c r="M109" s="137">
        <v>0.67300000000000004</v>
      </c>
      <c r="N109" s="12">
        <f t="shared" si="20"/>
        <v>0.67624000000000006</v>
      </c>
      <c r="O109" s="127">
        <f t="shared" si="16"/>
        <v>0.67948000000000008</v>
      </c>
      <c r="P109" s="12">
        <f t="shared" si="16"/>
        <v>0.6827200000000001</v>
      </c>
      <c r="Q109" s="12">
        <f t="shared" si="16"/>
        <v>0.68596000000000013</v>
      </c>
      <c r="R109" s="132">
        <f t="shared" si="21"/>
        <v>0.68920000000000015</v>
      </c>
      <c r="S109" s="124">
        <f t="shared" si="23"/>
        <v>1.3000000000000012E-2</v>
      </c>
      <c r="T109" s="11">
        <f t="shared" si="22"/>
        <v>0.67300000000000004</v>
      </c>
      <c r="U109" s="11">
        <f t="shared" si="17"/>
        <v>0.68920000000000015</v>
      </c>
      <c r="V109" s="90" t="s">
        <v>44</v>
      </c>
      <c r="W109" s="91">
        <f>INDEX(LINEST(T109:U109,(T$44:U$44)^{1}),1)</f>
        <v>3.2400000000000193E-3</v>
      </c>
      <c r="X109" s="91">
        <f>INDEX(LINEST(T109:U109,(T$44:U$44)^{1}),1,2)</f>
        <v>0.66976000000000002</v>
      </c>
      <c r="Z109" s="137">
        <v>0.67300000000000004</v>
      </c>
    </row>
    <row r="110" spans="1:26" x14ac:dyDescent="0.25">
      <c r="A110" s="83"/>
      <c r="B110" s="4">
        <v>40</v>
      </c>
      <c r="C110" s="1">
        <v>0.69</v>
      </c>
      <c r="D110" s="1">
        <f t="shared" si="18"/>
        <v>0.66999999999999993</v>
      </c>
      <c r="E110" s="11">
        <f t="shared" si="19"/>
        <v>0.98529411764705876</v>
      </c>
      <c r="F110" s="49">
        <f t="shared" si="14"/>
        <v>0.99415204678362568</v>
      </c>
      <c r="G110" s="12">
        <f t="shared" si="20"/>
        <v>0.66895999999999989</v>
      </c>
      <c r="H110" s="12">
        <f t="shared" si="20"/>
        <v>0.67079999999999995</v>
      </c>
      <c r="I110" s="12">
        <f t="shared" si="20"/>
        <v>0.6726399999999999</v>
      </c>
      <c r="J110" s="12">
        <f t="shared" si="20"/>
        <v>0.67447999999999997</v>
      </c>
      <c r="K110" s="12">
        <f t="shared" si="20"/>
        <v>0.67631999999999992</v>
      </c>
      <c r="L110" s="164">
        <f t="shared" si="20"/>
        <v>0.67815999999999999</v>
      </c>
      <c r="M110" s="137">
        <v>0.68</v>
      </c>
      <c r="N110" s="12">
        <f t="shared" si="20"/>
        <v>0.68184</v>
      </c>
      <c r="O110" s="127">
        <f t="shared" si="16"/>
        <v>0.68368000000000007</v>
      </c>
      <c r="P110" s="12">
        <f t="shared" si="16"/>
        <v>0.68552000000000002</v>
      </c>
      <c r="Q110" s="12">
        <f t="shared" si="16"/>
        <v>0.68736000000000008</v>
      </c>
      <c r="R110" s="132">
        <f t="shared" si="21"/>
        <v>0.68920000000000015</v>
      </c>
      <c r="S110" s="124">
        <f t="shared" si="23"/>
        <v>7.0000000000000062E-3</v>
      </c>
      <c r="T110" s="11">
        <f t="shared" si="22"/>
        <v>0.68</v>
      </c>
      <c r="U110" s="11">
        <f t="shared" si="17"/>
        <v>0.68920000000000015</v>
      </c>
      <c r="V110" s="90" t="s">
        <v>44</v>
      </c>
      <c r="W110" s="91">
        <f>INDEX(LINEST(T110:U110,(T$44:U$44)^{1}),1)</f>
        <v>1.8400000000000189E-3</v>
      </c>
      <c r="X110" s="91">
        <f>INDEX(LINEST(T110:U110,(T$44:U$44)^{1}),1,2)</f>
        <v>0.67815999999999999</v>
      </c>
      <c r="Z110" s="137">
        <v>0.68</v>
      </c>
    </row>
    <row r="111" spans="1:26" x14ac:dyDescent="0.25">
      <c r="A111" s="83"/>
      <c r="B111" s="4">
        <v>50</v>
      </c>
      <c r="C111" s="1">
        <v>0.71</v>
      </c>
      <c r="D111" s="1">
        <f t="shared" si="18"/>
        <v>0.69</v>
      </c>
      <c r="E111" s="11">
        <f t="shared" si="19"/>
        <v>0.99415204678362568</v>
      </c>
      <c r="F111" s="49">
        <f t="shared" si="14"/>
        <v>0.99563318777292575</v>
      </c>
      <c r="G111" s="12">
        <f t="shared" si="20"/>
        <v>0.67775999999999992</v>
      </c>
      <c r="H111" s="12">
        <f t="shared" si="20"/>
        <v>0.67879999999999996</v>
      </c>
      <c r="I111" s="12">
        <f t="shared" si="20"/>
        <v>0.67984</v>
      </c>
      <c r="J111" s="12">
        <f t="shared" si="20"/>
        <v>0.68087999999999993</v>
      </c>
      <c r="K111" s="12">
        <f t="shared" si="20"/>
        <v>0.68191999999999997</v>
      </c>
      <c r="L111" s="164">
        <f t="shared" si="20"/>
        <v>0.68296000000000001</v>
      </c>
      <c r="M111" s="137">
        <v>0.68400000000000005</v>
      </c>
      <c r="N111" s="12">
        <f t="shared" si="20"/>
        <v>0.68504000000000009</v>
      </c>
      <c r="O111" s="127">
        <f t="shared" si="16"/>
        <v>0.68608000000000002</v>
      </c>
      <c r="P111" s="12">
        <f t="shared" si="16"/>
        <v>0.68712000000000006</v>
      </c>
      <c r="Q111" s="12">
        <f t="shared" si="16"/>
        <v>0.6881600000000001</v>
      </c>
      <c r="R111" s="132">
        <f t="shared" si="21"/>
        <v>0.68920000000000015</v>
      </c>
      <c r="S111" s="124">
        <f t="shared" si="23"/>
        <v>4.0000000000000036E-3</v>
      </c>
      <c r="T111" s="11">
        <f t="shared" si="22"/>
        <v>0.68400000000000005</v>
      </c>
      <c r="U111" s="11">
        <f t="shared" si="17"/>
        <v>0.68920000000000015</v>
      </c>
      <c r="V111" s="90" t="s">
        <v>44</v>
      </c>
      <c r="W111" s="91">
        <f>INDEX(LINEST(T111:U111,(T$44:U$44)^{1}),1)</f>
        <v>1.0400000000000186E-3</v>
      </c>
      <c r="X111" s="91">
        <f>INDEX(LINEST(T111:U111,(T$44:U$44)^{1}),1,2)</f>
        <v>0.68296000000000001</v>
      </c>
      <c r="Z111" s="137">
        <v>0.68400000000000005</v>
      </c>
    </row>
    <row r="112" spans="1:26" x14ac:dyDescent="0.25">
      <c r="A112" s="83"/>
      <c r="B112" s="4">
        <v>60</v>
      </c>
      <c r="C112" s="1">
        <v>0.72</v>
      </c>
      <c r="D112" s="1">
        <f t="shared" si="18"/>
        <v>0.7</v>
      </c>
      <c r="E112" s="11">
        <f t="shared" si="19"/>
        <v>1.0043668122270741</v>
      </c>
      <c r="F112" s="49">
        <f t="shared" si="14"/>
        <v>0.99680789320951835</v>
      </c>
      <c r="G112" s="12">
        <f t="shared" si="20"/>
        <v>0.68435999999999997</v>
      </c>
      <c r="H112" s="12">
        <f t="shared" si="20"/>
        <v>0.68479999999999996</v>
      </c>
      <c r="I112" s="12">
        <f t="shared" si="20"/>
        <v>0.68523999999999996</v>
      </c>
      <c r="J112" s="12">
        <f t="shared" si="20"/>
        <v>0.68568000000000007</v>
      </c>
      <c r="K112" s="12">
        <f t="shared" si="20"/>
        <v>0.68612000000000006</v>
      </c>
      <c r="L112" s="164">
        <f t="shared" si="20"/>
        <v>0.68656000000000006</v>
      </c>
      <c r="M112" s="137">
        <v>0.68700000000000006</v>
      </c>
      <c r="N112" s="12">
        <f t="shared" si="20"/>
        <v>0.68744000000000005</v>
      </c>
      <c r="O112" s="127">
        <f t="shared" si="16"/>
        <v>0.68788000000000016</v>
      </c>
      <c r="P112" s="12">
        <f t="shared" si="16"/>
        <v>0.68832000000000015</v>
      </c>
      <c r="Q112" s="12">
        <f t="shared" si="16"/>
        <v>0.68876000000000015</v>
      </c>
      <c r="R112" s="132">
        <f t="shared" si="21"/>
        <v>0.68920000000000015</v>
      </c>
      <c r="S112" s="124">
        <f t="shared" si="23"/>
        <v>3.0000000000000027E-3</v>
      </c>
      <c r="T112" s="11">
        <f t="shared" si="22"/>
        <v>0.68700000000000006</v>
      </c>
      <c r="U112" s="11">
        <f t="shared" si="17"/>
        <v>0.68920000000000015</v>
      </c>
      <c r="V112" s="90" t="s">
        <v>44</v>
      </c>
      <c r="W112" s="91">
        <f>INDEX(LINEST(T112:U112,(T$44:U$44)^{1}),1)</f>
        <v>4.4000000000001801E-4</v>
      </c>
      <c r="X112" s="91">
        <f>INDEX(LINEST(T112:U112,(T$44:U$44)^{1}),1,2)</f>
        <v>0.68656000000000006</v>
      </c>
      <c r="Z112" s="137">
        <v>0.68700000000000006</v>
      </c>
    </row>
    <row r="113" spans="1:26" x14ac:dyDescent="0.25">
      <c r="A113" s="83"/>
      <c r="B113" s="4">
        <v>70</v>
      </c>
      <c r="C113" s="5">
        <v>0.72</v>
      </c>
      <c r="D113" s="5">
        <f t="shared" si="18"/>
        <v>0.7</v>
      </c>
      <c r="E113" s="11">
        <f t="shared" si="19"/>
        <v>1.0145095763203715</v>
      </c>
      <c r="F113" s="52">
        <f>M113/M113</f>
        <v>1</v>
      </c>
      <c r="G113" s="53">
        <f t="shared" si="20"/>
        <v>0.68919999999999981</v>
      </c>
      <c r="H113" s="53">
        <f t="shared" si="20"/>
        <v>0.68919999999999981</v>
      </c>
      <c r="I113" s="53">
        <f t="shared" si="20"/>
        <v>0.68919999999999981</v>
      </c>
      <c r="J113" s="53">
        <f t="shared" si="20"/>
        <v>0.68919999999999992</v>
      </c>
      <c r="K113" s="53">
        <f t="shared" si="20"/>
        <v>0.68919999999999992</v>
      </c>
      <c r="L113" s="166">
        <f t="shared" si="20"/>
        <v>0.68919999999999992</v>
      </c>
      <c r="M113" s="139">
        <v>0.68920000000000003</v>
      </c>
      <c r="N113" s="53">
        <f>($W113*N$44)+$X113</f>
        <v>0.68919999999999992</v>
      </c>
      <c r="O113" s="129">
        <f t="shared" si="16"/>
        <v>0.68920000000000003</v>
      </c>
      <c r="P113" s="53">
        <f t="shared" si="16"/>
        <v>0.68920000000000003</v>
      </c>
      <c r="Q113" s="53">
        <f t="shared" si="16"/>
        <v>0.68920000000000003</v>
      </c>
      <c r="R113" s="134">
        <f t="shared" si="21"/>
        <v>0.68920000000000015</v>
      </c>
      <c r="S113" s="124">
        <f t="shared" si="23"/>
        <v>2.1999999999999797E-3</v>
      </c>
      <c r="T113" s="11">
        <f>M113</f>
        <v>0.68920000000000003</v>
      </c>
      <c r="U113" s="11">
        <f>R113</f>
        <v>0.68920000000000015</v>
      </c>
      <c r="V113" s="90" t="s">
        <v>44</v>
      </c>
      <c r="W113" s="91">
        <f>INDEX(LINEST(T113:U113,(T$44:U$44)^{1}),1)</f>
        <v>2.2204460492503129E-17</v>
      </c>
      <c r="X113" s="91">
        <f>INDEX(LINEST(T113:U113,(T$44:U$44)^{1}),1,2)</f>
        <v>0.68919999999999992</v>
      </c>
      <c r="Z113" s="139">
        <v>0.68920000000000003</v>
      </c>
    </row>
    <row r="114" spans="1:26" x14ac:dyDescent="0.25">
      <c r="A114" s="83"/>
      <c r="M114">
        <f>M113/M102</f>
        <v>1.7230000000000001</v>
      </c>
      <c r="S114" s="124"/>
      <c r="T114" s="1"/>
      <c r="U114" s="1"/>
      <c r="V114" s="90"/>
    </row>
    <row r="115" spans="1:26" ht="15.75" x14ac:dyDescent="0.25">
      <c r="D115" s="20" t="s">
        <v>78</v>
      </c>
      <c r="M115" s="170">
        <f>M113/M108</f>
        <v>1.0442424242424242</v>
      </c>
      <c r="T115" s="189" t="s">
        <v>131</v>
      </c>
      <c r="U115" s="1"/>
      <c r="V115" s="90"/>
    </row>
    <row r="116" spans="1:26" ht="15.75" x14ac:dyDescent="0.25">
      <c r="D116" s="20" t="s">
        <v>99</v>
      </c>
      <c r="T116" s="189" t="s">
        <v>132</v>
      </c>
      <c r="U116" s="1"/>
      <c r="V116" s="90"/>
    </row>
    <row r="117" spans="1:26" x14ac:dyDescent="0.25">
      <c r="D117" s="20" t="s">
        <v>100</v>
      </c>
      <c r="T117" s="1"/>
      <c r="U117" s="1"/>
      <c r="V117" s="90"/>
    </row>
    <row r="118" spans="1:26" x14ac:dyDescent="0.25">
      <c r="D118" s="20"/>
      <c r="T118" s="1"/>
      <c r="U118" s="1"/>
      <c r="V118" s="90"/>
    </row>
    <row r="119" spans="1:26" x14ac:dyDescent="0.25">
      <c r="B119" s="188" t="s">
        <v>130</v>
      </c>
      <c r="I119" s="190" t="s">
        <v>134</v>
      </c>
      <c r="J119" s="190"/>
      <c r="K119" s="190"/>
    </row>
    <row r="120" spans="1:26" x14ac:dyDescent="0.25">
      <c r="B120" s="174" t="s">
        <v>135</v>
      </c>
      <c r="H120" s="4" t="s">
        <v>9</v>
      </c>
      <c r="K120" s="42"/>
      <c r="L120" s="42" t="s">
        <v>147</v>
      </c>
      <c r="M120" s="204" t="s">
        <v>148</v>
      </c>
      <c r="N120" s="42" t="s">
        <v>149</v>
      </c>
      <c r="O120" s="42" t="s">
        <v>150</v>
      </c>
      <c r="P120" s="42"/>
      <c r="T120" s="122" t="s">
        <v>133</v>
      </c>
    </row>
    <row r="121" spans="1:26" x14ac:dyDescent="0.25">
      <c r="B121" s="98" t="s">
        <v>79</v>
      </c>
      <c r="C121" s="22"/>
      <c r="D121" s="23"/>
      <c r="H121" s="4">
        <v>1</v>
      </c>
      <c r="J121" s="63"/>
      <c r="K121" s="63"/>
      <c r="L121" s="63">
        <f t="shared" ref="L121:O132" si="24">(L102*$D$122*SQRT(4*$D$124*$B$128/32.2)/12)*$H121/2</f>
        <v>1.058965952331997</v>
      </c>
      <c r="M121" s="63">
        <f>(M102*$D$122*SQRT(4*$D$124*$B$128/32.2)/12)*$H121/2</f>
        <v>1.2379774986345533</v>
      </c>
      <c r="N121" s="63">
        <f>(N102*$D$122*SQRT(4*$D$124*$B$128/32.2)/12)*$H121/2</f>
        <v>1.4169890449371099</v>
      </c>
      <c r="O121" s="63">
        <f>(O102*$D$122*SQRT(4*$D$124*$B$128/32.2)/12)*$H121/2</f>
        <v>1.5960005912396662</v>
      </c>
      <c r="P121" s="63"/>
      <c r="Q121" s="63"/>
      <c r="R121" s="63"/>
      <c r="T121" s="205">
        <f>'curve_rzeta_targetnu_add_2.5'!N113</f>
        <v>1.2077405257340126</v>
      </c>
      <c r="X121" s="146">
        <v>1.2</v>
      </c>
      <c r="Y121" s="3" t="s">
        <v>111</v>
      </c>
    </row>
    <row r="122" spans="1:26" x14ac:dyDescent="0.25">
      <c r="B122" s="104" t="s">
        <v>82</v>
      </c>
      <c r="C122" s="105" t="s">
        <v>83</v>
      </c>
      <c r="D122" s="116">
        <v>0.9</v>
      </c>
      <c r="H122" s="4">
        <v>2</v>
      </c>
      <c r="J122" s="58"/>
      <c r="K122" s="58"/>
      <c r="L122" s="58">
        <f t="shared" si="24"/>
        <v>2.4596136942871305</v>
      </c>
      <c r="M122" s="58">
        <f t="shared" si="24"/>
        <v>2.760689821955054</v>
      </c>
      <c r="N122" s="58">
        <f t="shared" si="24"/>
        <v>3.0617659496229774</v>
      </c>
      <c r="O122" s="58">
        <f t="shared" si="24"/>
        <v>3.3628420772909013</v>
      </c>
      <c r="P122" s="58"/>
      <c r="Q122" s="58"/>
      <c r="R122" s="58"/>
      <c r="T122" s="11">
        <f>'curve_rzeta_targetnu_add_2.5'!N114</f>
        <v>0.8498644378694703</v>
      </c>
      <c r="X122" s="147">
        <v>0.85</v>
      </c>
    </row>
    <row r="123" spans="1:26" x14ac:dyDescent="0.25">
      <c r="B123" s="104" t="s">
        <v>87</v>
      </c>
      <c r="C123" s="105" t="s">
        <v>88</v>
      </c>
      <c r="D123" s="116">
        <v>0.96</v>
      </c>
      <c r="H123" s="4">
        <v>3</v>
      </c>
      <c r="J123" s="67"/>
      <c r="K123" s="67"/>
      <c r="L123" s="67">
        <f t="shared" si="24"/>
        <v>4.0793834535005793</v>
      </c>
      <c r="M123" s="67">
        <f t="shared" si="24"/>
        <v>4.466003826324151</v>
      </c>
      <c r="N123" s="67">
        <f t="shared" si="24"/>
        <v>4.8526241991477219</v>
      </c>
      <c r="O123" s="67">
        <f t="shared" si="24"/>
        <v>5.2392445719712928</v>
      </c>
      <c r="P123" s="67"/>
      <c r="Q123" s="67"/>
      <c r="R123" s="67"/>
      <c r="T123" s="205">
        <f>'curve_rzeta_targetnu_add_2.5'!N115</f>
        <v>0.75023860956387134</v>
      </c>
      <c r="X123" s="147">
        <v>0.75</v>
      </c>
    </row>
    <row r="124" spans="1:26" x14ac:dyDescent="0.25">
      <c r="B124" s="106" t="s">
        <v>91</v>
      </c>
      <c r="C124" s="112" t="s">
        <v>92</v>
      </c>
      <c r="D124" s="117">
        <v>85</v>
      </c>
      <c r="H124" s="4">
        <v>4</v>
      </c>
      <c r="J124" s="58"/>
      <c r="K124" s="58"/>
      <c r="L124" s="58">
        <f t="shared" si="24"/>
        <v>5.9888399473945162</v>
      </c>
      <c r="M124" s="58">
        <f t="shared" si="24"/>
        <v>6.4127234429269855</v>
      </c>
      <c r="N124" s="58">
        <f t="shared" si="24"/>
        <v>6.8366069384594574</v>
      </c>
      <c r="O124" s="58">
        <f t="shared" si="24"/>
        <v>7.2604904339919294</v>
      </c>
      <c r="P124" s="58"/>
      <c r="Q124" s="58"/>
      <c r="R124" s="58"/>
      <c r="T124" s="11">
        <f>'curve_rzeta_targetnu_add_2.5'!N116</f>
        <v>0.71992523367346217</v>
      </c>
      <c r="X124" s="147">
        <v>0.72</v>
      </c>
    </row>
    <row r="125" spans="1:26" x14ac:dyDescent="0.25">
      <c r="B125" s="101" t="s">
        <v>81</v>
      </c>
      <c r="C125" s="102"/>
      <c r="D125" s="102"/>
      <c r="E125" s="103"/>
      <c r="H125" s="4">
        <v>5</v>
      </c>
      <c r="J125" s="58"/>
      <c r="K125" s="58"/>
      <c r="L125" s="58">
        <f t="shared" si="24"/>
        <v>8.0431398086286929</v>
      </c>
      <c r="M125" s="58">
        <f t="shared" si="24"/>
        <v>8.4801458656466906</v>
      </c>
      <c r="N125" s="58">
        <f t="shared" si="24"/>
        <v>8.9171519226646865</v>
      </c>
      <c r="O125" s="58">
        <f t="shared" si="24"/>
        <v>9.3541579796826859</v>
      </c>
      <c r="P125" s="58"/>
      <c r="Q125" s="58"/>
      <c r="R125" s="58"/>
      <c r="T125" s="11">
        <f>'curve_rzeta_targetnu_add_2.5'!N117</f>
        <v>0.70953702344417302</v>
      </c>
      <c r="X125" s="147">
        <v>0.71</v>
      </c>
    </row>
    <row r="126" spans="1:26" x14ac:dyDescent="0.25">
      <c r="B126" s="108" t="s">
        <v>85</v>
      </c>
      <c r="C126" s="109" t="s">
        <v>86</v>
      </c>
      <c r="D126" s="22"/>
      <c r="E126" s="23"/>
      <c r="H126" s="4">
        <v>10</v>
      </c>
      <c r="J126" s="67"/>
      <c r="K126" s="67"/>
      <c r="L126" s="67">
        <f t="shared" si="24"/>
        <v>18.723171689348984</v>
      </c>
      <c r="M126" s="67">
        <f t="shared" si="24"/>
        <v>19.157701791369711</v>
      </c>
      <c r="N126" s="67">
        <f t="shared" si="24"/>
        <v>19.592231893390441</v>
      </c>
      <c r="O126" s="67">
        <f t="shared" si="24"/>
        <v>20.026761995411171</v>
      </c>
      <c r="P126" s="67"/>
      <c r="Q126" s="67"/>
      <c r="R126" s="67"/>
      <c r="T126" s="205">
        <f>'curve_rzeta_targetnu_add_2.5'!N118</f>
        <v>0.69976034251822494</v>
      </c>
      <c r="X126" s="147">
        <v>0.7</v>
      </c>
    </row>
    <row r="127" spans="1:26" x14ac:dyDescent="0.25">
      <c r="B127" s="110" t="s">
        <v>89</v>
      </c>
      <c r="C127" s="111" t="s">
        <v>90</v>
      </c>
      <c r="E127" s="25"/>
      <c r="H127" s="4">
        <v>20</v>
      </c>
      <c r="J127" s="58"/>
      <c r="K127" s="58"/>
      <c r="L127" s="58">
        <f t="shared" si="24"/>
        <v>40.491768025338963</v>
      </c>
      <c r="M127" s="58">
        <f t="shared" si="24"/>
        <v>40.853257454940255</v>
      </c>
      <c r="N127" s="58">
        <f t="shared" si="24"/>
        <v>41.21474688454154</v>
      </c>
      <c r="O127" s="58">
        <f t="shared" si="24"/>
        <v>41.576236314142847</v>
      </c>
      <c r="P127" s="58"/>
      <c r="Q127" s="58"/>
      <c r="R127" s="58"/>
      <c r="T127" s="11">
        <f>'curve_rzeta_targetnu_add_2.5'!N119</f>
        <v>0.70037187182156613</v>
      </c>
      <c r="X127" s="147">
        <v>0.7</v>
      </c>
    </row>
    <row r="128" spans="1:26" x14ac:dyDescent="0.25">
      <c r="B128" s="113">
        <f>D123*2.20462*25.4*12</f>
        <v>645.0894489599998</v>
      </c>
      <c r="C128" s="27"/>
      <c r="D128" s="118"/>
      <c r="E128" s="29"/>
      <c r="H128" s="4">
        <v>30</v>
      </c>
      <c r="J128" s="58"/>
      <c r="K128" s="58"/>
      <c r="L128" s="58">
        <f t="shared" si="24"/>
        <v>62.186085711410875</v>
      </c>
      <c r="M128" s="58">
        <f t="shared" si="24"/>
        <v>62.486914243579072</v>
      </c>
      <c r="N128" s="58">
        <f t="shared" si="24"/>
        <v>62.787742775747276</v>
      </c>
      <c r="O128" s="58">
        <f t="shared" si="24"/>
        <v>63.088571307915473</v>
      </c>
      <c r="P128" s="58"/>
      <c r="Q128" s="58"/>
      <c r="R128" s="58"/>
      <c r="T128" s="11">
        <f>'curve_rzeta_targetnu_add_2.5'!N120</f>
        <v>0.69990906404191422</v>
      </c>
      <c r="X128" s="147">
        <v>0.7</v>
      </c>
    </row>
    <row r="129" spans="1:25" x14ac:dyDescent="0.25">
      <c r="H129" s="4">
        <v>40</v>
      </c>
      <c r="J129" s="58"/>
      <c r="K129" s="58"/>
      <c r="L129" s="58">
        <f t="shared" si="24"/>
        <v>83.954682047400851</v>
      </c>
      <c r="M129" s="58">
        <f t="shared" si="24"/>
        <v>84.182469907149638</v>
      </c>
      <c r="N129" s="58">
        <f t="shared" si="24"/>
        <v>84.410257766898383</v>
      </c>
      <c r="O129" s="58">
        <f t="shared" si="24"/>
        <v>84.638045626647141</v>
      </c>
      <c r="P129" s="58"/>
      <c r="Q129" s="58"/>
      <c r="R129" s="58"/>
      <c r="T129" s="11">
        <f>'curve_rzeta_targetnu_add_2.5'!N121</f>
        <v>0.70017764831266283</v>
      </c>
      <c r="X129" s="147">
        <v>0.7</v>
      </c>
    </row>
    <row r="130" spans="1:25" x14ac:dyDescent="0.25">
      <c r="B130" s="99" t="s">
        <v>80</v>
      </c>
      <c r="C130" s="100"/>
      <c r="H130" s="4">
        <v>50</v>
      </c>
      <c r="J130" s="58"/>
      <c r="K130" s="58"/>
      <c r="L130" s="58">
        <f t="shared" si="24"/>
        <v>105.68613905843181</v>
      </c>
      <c r="M130" s="58">
        <f t="shared" si="24"/>
        <v>105.8470761332543</v>
      </c>
      <c r="N130" s="58">
        <f t="shared" si="24"/>
        <v>106.0080132080768</v>
      </c>
      <c r="O130" s="58">
        <f t="shared" si="24"/>
        <v>106.16895028289927</v>
      </c>
      <c r="P130" s="58"/>
      <c r="Q130" s="58"/>
      <c r="R130" s="58"/>
      <c r="T130" s="11">
        <f>'curve_rzeta_targetnu_add_2.5'!N122</f>
        <v>0.70013880361088177</v>
      </c>
      <c r="X130" s="147">
        <v>0.7</v>
      </c>
    </row>
    <row r="131" spans="1:25" x14ac:dyDescent="0.25">
      <c r="B131" s="106" t="s">
        <v>84</v>
      </c>
      <c r="C131" s="107">
        <v>0.7</v>
      </c>
      <c r="H131" s="4">
        <v>60</v>
      </c>
      <c r="J131" s="58"/>
      <c r="K131" s="58"/>
      <c r="L131" s="58">
        <f t="shared" si="24"/>
        <v>127.49187471938087</v>
      </c>
      <c r="M131" s="58">
        <f t="shared" si="24"/>
        <v>127.57358123429073</v>
      </c>
      <c r="N131" s="58">
        <f t="shared" si="24"/>
        <v>127.6552877492006</v>
      </c>
      <c r="O131" s="58">
        <f t="shared" si="24"/>
        <v>127.73699426411051</v>
      </c>
      <c r="P131" s="58"/>
      <c r="Q131" s="58"/>
      <c r="R131" s="58"/>
      <c r="T131" s="11">
        <f>'curve_rzeta_targetnu_add_2.5'!N123</f>
        <v>0.70044623258341088</v>
      </c>
      <c r="X131" s="147">
        <v>0.7</v>
      </c>
    </row>
    <row r="132" spans="1:25" x14ac:dyDescent="0.25">
      <c r="H132" s="4">
        <v>70</v>
      </c>
      <c r="J132" s="67"/>
      <c r="K132" s="67"/>
      <c r="L132" s="67">
        <f t="shared" si="24"/>
        <v>149.31246611031344</v>
      </c>
      <c r="M132" s="67">
        <f t="shared" si="24"/>
        <v>149.31246611031349</v>
      </c>
      <c r="N132" s="67">
        <f t="shared" si="24"/>
        <v>149.31246611031344</v>
      </c>
      <c r="O132" s="67">
        <f t="shared" si="24"/>
        <v>149.31246611031349</v>
      </c>
      <c r="P132" s="67"/>
      <c r="Q132" s="67"/>
      <c r="R132" s="67"/>
      <c r="T132" s="11">
        <f>'curve_rzeta_targetnu_add_2.5'!N124</f>
        <v>0.70072296621071162</v>
      </c>
      <c r="X132" s="148">
        <v>0.7</v>
      </c>
    </row>
    <row r="133" spans="1:25" x14ac:dyDescent="0.25">
      <c r="M133" s="114"/>
      <c r="S133" t="s">
        <v>137</v>
      </c>
    </row>
    <row r="134" spans="1:25" x14ac:dyDescent="0.25">
      <c r="M134" s="114"/>
    </row>
    <row r="135" spans="1:25" x14ac:dyDescent="0.25">
      <c r="M135" s="114"/>
    </row>
    <row r="136" spans="1:25" ht="15.75" thickBot="1" x14ac:dyDescent="0.3">
      <c r="A136" s="141"/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2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</row>
    <row r="137" spans="1:25" ht="15.75" thickTop="1" x14ac:dyDescent="0.25">
      <c r="M137" s="114"/>
    </row>
    <row r="138" spans="1:25" x14ac:dyDescent="0.25">
      <c r="M138" s="114"/>
    </row>
    <row r="139" spans="1:25" x14ac:dyDescent="0.25">
      <c r="A139" t="s">
        <v>73</v>
      </c>
      <c r="B139" t="s">
        <v>74</v>
      </c>
    </row>
    <row r="140" spans="1:25" x14ac:dyDescent="0.25">
      <c r="B140" s="20" t="s">
        <v>102</v>
      </c>
    </row>
    <row r="141" spans="1:25" x14ac:dyDescent="0.25">
      <c r="A141" s="83"/>
      <c r="B141" s="20"/>
    </row>
    <row r="142" spans="1:25" x14ac:dyDescent="0.25">
      <c r="A142" s="83"/>
      <c r="B142" s="135">
        <v>0.1545</v>
      </c>
      <c r="D142">
        <v>0.11924999999999999</v>
      </c>
    </row>
    <row r="143" spans="1:25" x14ac:dyDescent="0.25">
      <c r="A143" s="83"/>
      <c r="B143" s="85">
        <v>1</v>
      </c>
    </row>
    <row r="144" spans="1:25" x14ac:dyDescent="0.25">
      <c r="A144" s="83">
        <v>1</v>
      </c>
      <c r="B144" s="86">
        <f>B143+B$142</f>
        <v>1.1545000000000001</v>
      </c>
      <c r="H144" s="7"/>
      <c r="L144" s="21"/>
      <c r="M144" s="31" t="s">
        <v>38</v>
      </c>
      <c r="N144" s="32">
        <f>B144</f>
        <v>1.1545000000000001</v>
      </c>
      <c r="O144" s="32">
        <f>B145</f>
        <v>1.3090000000000002</v>
      </c>
      <c r="P144" s="32">
        <f>B146</f>
        <v>1.4635000000000002</v>
      </c>
      <c r="Q144" s="32">
        <f>B147</f>
        <v>1.6180000000000003</v>
      </c>
      <c r="R144" s="32">
        <f>B148</f>
        <v>1.7725000000000004</v>
      </c>
      <c r="S144" s="33"/>
    </row>
    <row r="145" spans="1:24" x14ac:dyDescent="0.25">
      <c r="A145" s="83">
        <v>2</v>
      </c>
      <c r="B145" s="86">
        <f t="shared" ref="B145:B149" si="25">B144+B$142</f>
        <v>1.3090000000000002</v>
      </c>
      <c r="L145" s="34"/>
      <c r="M145" s="35">
        <v>1</v>
      </c>
      <c r="N145" s="35">
        <v>2</v>
      </c>
      <c r="O145" s="35">
        <v>3</v>
      </c>
      <c r="P145" s="35">
        <v>4</v>
      </c>
      <c r="Q145" s="35">
        <v>5</v>
      </c>
      <c r="R145" s="35">
        <v>6</v>
      </c>
      <c r="S145" s="36"/>
    </row>
    <row r="146" spans="1:24" x14ac:dyDescent="0.25">
      <c r="A146" s="83">
        <v>3</v>
      </c>
      <c r="B146" s="86">
        <f t="shared" si="25"/>
        <v>1.4635000000000002</v>
      </c>
      <c r="K146" s="2" t="s">
        <v>76</v>
      </c>
      <c r="L146" s="24"/>
      <c r="M146" s="124">
        <v>0.36</v>
      </c>
      <c r="N146" s="11">
        <f>$M146*N144</f>
        <v>0.41561999999999999</v>
      </c>
      <c r="O146" s="11">
        <f>$M146*O144</f>
        <v>0.47124000000000005</v>
      </c>
      <c r="P146" s="11">
        <f>$M146*P144</f>
        <v>0.52686000000000011</v>
      </c>
      <c r="Q146" s="11">
        <f>$M146*Q144</f>
        <v>0.58248000000000011</v>
      </c>
      <c r="R146" s="130">
        <f>$M146*R144</f>
        <v>0.63810000000000011</v>
      </c>
      <c r="S146" s="36" t="s">
        <v>39</v>
      </c>
      <c r="T146" s="140">
        <f>R146/M168</f>
        <v>1.0001567398119124</v>
      </c>
      <c r="U146">
        <f>B142/T146</f>
        <v>0.15447578749412313</v>
      </c>
    </row>
    <row r="147" spans="1:24" x14ac:dyDescent="0.25">
      <c r="A147" s="83">
        <v>4</v>
      </c>
      <c r="B147" s="86">
        <f t="shared" si="25"/>
        <v>1.6180000000000003</v>
      </c>
      <c r="L147" s="26"/>
      <c r="M147" s="38">
        <f>M146</f>
        <v>0.36</v>
      </c>
      <c r="N147" s="38">
        <f t="shared" ref="N147:R147" si="26">N146</f>
        <v>0.41561999999999999</v>
      </c>
      <c r="O147" s="38">
        <f t="shared" si="26"/>
        <v>0.47124000000000005</v>
      </c>
      <c r="P147" s="38">
        <f t="shared" si="26"/>
        <v>0.52686000000000011</v>
      </c>
      <c r="Q147" s="38">
        <f t="shared" si="26"/>
        <v>0.58248000000000011</v>
      </c>
      <c r="R147" s="38">
        <f t="shared" si="26"/>
        <v>0.63810000000000011</v>
      </c>
      <c r="S147" s="39" t="s">
        <v>42</v>
      </c>
    </row>
    <row r="148" spans="1:24" x14ac:dyDescent="0.25">
      <c r="A148" s="83">
        <v>5</v>
      </c>
      <c r="B148" s="86">
        <f t="shared" si="25"/>
        <v>1.7725000000000004</v>
      </c>
    </row>
    <row r="149" spans="1:24" x14ac:dyDescent="0.25">
      <c r="A149" s="83">
        <v>6</v>
      </c>
      <c r="B149" s="86">
        <f t="shared" si="25"/>
        <v>1.9270000000000005</v>
      </c>
      <c r="D149" t="s">
        <v>72</v>
      </c>
      <c r="K149" s="18"/>
      <c r="L149" s="20" t="s">
        <v>154</v>
      </c>
    </row>
    <row r="150" spans="1:24" x14ac:dyDescent="0.25">
      <c r="A150" s="83"/>
      <c r="B150" s="86"/>
      <c r="F150" s="40" t="s">
        <v>101</v>
      </c>
      <c r="G150" s="22"/>
      <c r="H150" s="22"/>
      <c r="I150" s="22"/>
      <c r="J150" s="22"/>
      <c r="K150" s="22"/>
      <c r="L150" s="179" t="s">
        <v>119</v>
      </c>
      <c r="M150" s="167"/>
      <c r="N150" s="22"/>
      <c r="O150" s="180" t="s">
        <v>125</v>
      </c>
      <c r="P150" s="22"/>
      <c r="Q150" s="55" t="s">
        <v>45</v>
      </c>
      <c r="R150" s="23"/>
    </row>
    <row r="151" spans="1:24" x14ac:dyDescent="0.25">
      <c r="A151" s="83"/>
      <c r="B151" s="86"/>
      <c r="F151" s="183"/>
      <c r="L151" s="181" t="s">
        <v>123</v>
      </c>
      <c r="M151" s="184"/>
      <c r="O151" s="185"/>
      <c r="Q151" s="186"/>
      <c r="R151" s="25"/>
    </row>
    <row r="152" spans="1:24" x14ac:dyDescent="0.25">
      <c r="A152" s="83"/>
      <c r="B152" s="20"/>
      <c r="F152" s="24"/>
      <c r="L152" s="182" t="s">
        <v>124</v>
      </c>
      <c r="O152" s="25"/>
      <c r="R152" s="25"/>
    </row>
    <row r="153" spans="1:24" x14ac:dyDescent="0.25">
      <c r="A153" s="83"/>
      <c r="F153" s="41"/>
      <c r="G153" s="42"/>
      <c r="H153" s="42"/>
      <c r="I153" s="42"/>
      <c r="J153" s="42"/>
      <c r="K153" s="42"/>
      <c r="L153" s="172" t="s">
        <v>151</v>
      </c>
      <c r="M153" s="42" t="s">
        <v>152</v>
      </c>
      <c r="N153" s="42" t="s">
        <v>153</v>
      </c>
      <c r="O153" s="173" t="s">
        <v>165</v>
      </c>
      <c r="P153" s="42"/>
      <c r="Q153" s="42"/>
      <c r="R153" s="43"/>
    </row>
    <row r="154" spans="1:24" x14ac:dyDescent="0.25">
      <c r="A154" s="83"/>
      <c r="C154" s="73" t="s">
        <v>34</v>
      </c>
      <c r="F154" s="44"/>
      <c r="G154" s="4">
        <v>-5</v>
      </c>
      <c r="H154" s="4">
        <v>-4</v>
      </c>
      <c r="I154" s="4">
        <v>-3</v>
      </c>
      <c r="J154" s="4">
        <v>-2</v>
      </c>
      <c r="K154" s="4">
        <v>-1</v>
      </c>
      <c r="L154" s="44">
        <v>0</v>
      </c>
      <c r="M154" s="4">
        <v>1</v>
      </c>
      <c r="N154" s="4">
        <v>2</v>
      </c>
      <c r="O154" s="45">
        <v>3</v>
      </c>
      <c r="P154" s="4">
        <v>4</v>
      </c>
      <c r="Q154" s="4">
        <v>5</v>
      </c>
      <c r="R154" s="45">
        <v>6</v>
      </c>
      <c r="T154" s="4">
        <v>1</v>
      </c>
      <c r="U154" s="4">
        <v>6</v>
      </c>
    </row>
    <row r="155" spans="1:24" x14ac:dyDescent="0.25">
      <c r="A155" s="83"/>
      <c r="B155" s="4"/>
      <c r="C155" s="4" t="s">
        <v>10</v>
      </c>
      <c r="D155" s="87" t="s">
        <v>37</v>
      </c>
      <c r="E155" s="73"/>
      <c r="F155" s="24"/>
      <c r="L155" s="24"/>
      <c r="N155" s="46" t="s">
        <v>43</v>
      </c>
      <c r="O155" s="25"/>
      <c r="R155" s="25"/>
      <c r="T155" t="s">
        <v>129</v>
      </c>
    </row>
    <row r="156" spans="1:24" x14ac:dyDescent="0.25">
      <c r="A156" s="83"/>
      <c r="B156" s="4" t="s">
        <v>9</v>
      </c>
      <c r="C156" s="88" t="s">
        <v>36</v>
      </c>
      <c r="D156" s="89">
        <v>-0.02</v>
      </c>
      <c r="E156" s="74"/>
      <c r="F156" s="24"/>
      <c r="G156" s="47"/>
      <c r="H156" s="47"/>
      <c r="I156" s="47"/>
      <c r="J156" s="47"/>
      <c r="K156" s="47"/>
      <c r="L156" s="162"/>
      <c r="M156" s="144">
        <f>M146</f>
        <v>0.36</v>
      </c>
      <c r="N156" s="144">
        <f>N146</f>
        <v>0.41561999999999999</v>
      </c>
      <c r="O156" s="145">
        <f t="shared" ref="O156:R156" si="27">O146</f>
        <v>0.47124000000000005</v>
      </c>
      <c r="P156" s="144">
        <f t="shared" si="27"/>
        <v>0.52686000000000011</v>
      </c>
      <c r="Q156" s="144">
        <f t="shared" si="27"/>
        <v>0.58248000000000011</v>
      </c>
      <c r="R156" s="145">
        <f t="shared" si="27"/>
        <v>0.63810000000000011</v>
      </c>
    </row>
    <row r="157" spans="1:24" x14ac:dyDescent="0.25">
      <c r="A157" s="83"/>
      <c r="B157" s="4">
        <v>1</v>
      </c>
      <c r="C157" s="6">
        <v>0.78</v>
      </c>
      <c r="D157" s="6">
        <f>C157+$D$101</f>
        <v>0.76</v>
      </c>
      <c r="E157" s="11">
        <f>M102/M157</f>
        <v>1.1111111111111112</v>
      </c>
      <c r="F157" s="49">
        <f t="shared" ref="F157:F167" si="28">M157/M158</f>
        <v>0.8571428571428571</v>
      </c>
      <c r="G157" s="13">
        <f>($W157*G$44)+$X157</f>
        <v>2.6280000000000026E-2</v>
      </c>
      <c r="H157" s="13">
        <f t="shared" ref="H157:K157" si="29">($W157*H$44)+$X157</f>
        <v>8.1900000000000028E-2</v>
      </c>
      <c r="I157" s="13">
        <f t="shared" si="29"/>
        <v>0.13752000000000003</v>
      </c>
      <c r="J157" s="13">
        <f t="shared" si="29"/>
        <v>0.19314000000000003</v>
      </c>
      <c r="K157" s="13">
        <f t="shared" si="29"/>
        <v>0.24876000000000004</v>
      </c>
      <c r="L157" s="163">
        <f>($W157*L$44)+$X157</f>
        <v>0.30438000000000004</v>
      </c>
      <c r="M157" s="123">
        <v>0.36</v>
      </c>
      <c r="N157" s="13">
        <f>($W157*N$44)+$X157</f>
        <v>0.41562000000000004</v>
      </c>
      <c r="O157" s="76">
        <f t="shared" ref="O157:Q168" si="30">($W157*O$44)+$X157</f>
        <v>0.47124000000000005</v>
      </c>
      <c r="P157" s="13">
        <f t="shared" si="30"/>
        <v>0.52686000000000011</v>
      </c>
      <c r="Q157" s="13">
        <f t="shared" si="30"/>
        <v>0.58248000000000011</v>
      </c>
      <c r="R157" s="131">
        <f>$R$146</f>
        <v>0.63810000000000011</v>
      </c>
      <c r="S157" s="12"/>
      <c r="T157" s="11">
        <f>M157</f>
        <v>0.36</v>
      </c>
      <c r="U157" s="11">
        <f t="shared" ref="U157:U167" si="31">R157</f>
        <v>0.63810000000000011</v>
      </c>
      <c r="V157" s="90" t="s">
        <v>44</v>
      </c>
      <c r="W157" s="91">
        <f>INDEX(LINEST(T157:U157,(T$44:U$44)^{1}),1)</f>
        <v>5.5620000000000003E-2</v>
      </c>
      <c r="X157" s="91">
        <f>INDEX(LINEST(T157:U157,(T$44:U$44)^{1}),1,2)</f>
        <v>0.30438000000000004</v>
      </c>
    </row>
    <row r="158" spans="1:24" x14ac:dyDescent="0.25">
      <c r="A158" s="83"/>
      <c r="B158" s="4">
        <v>2</v>
      </c>
      <c r="C158" s="1">
        <v>0.56999999999999995</v>
      </c>
      <c r="D158" s="1">
        <f t="shared" ref="D158:D168" si="32">C158+$D$101</f>
        <v>0.54999999999999993</v>
      </c>
      <c r="E158" s="11">
        <f t="shared" ref="E158:E168" si="33">M103/M158</f>
        <v>1.0619047619047619</v>
      </c>
      <c r="F158" s="49">
        <f t="shared" si="28"/>
        <v>0.91304347826086951</v>
      </c>
      <c r="G158" s="12">
        <f t="shared" ref="G158:N168" si="34">($W158*G$44)+$X158</f>
        <v>0.15827999999999984</v>
      </c>
      <c r="H158" s="12">
        <f t="shared" si="34"/>
        <v>0.20189999999999986</v>
      </c>
      <c r="I158" s="12">
        <f t="shared" si="34"/>
        <v>0.24551999999999988</v>
      </c>
      <c r="J158" s="12">
        <f t="shared" si="34"/>
        <v>0.2891399999999999</v>
      </c>
      <c r="K158" s="12">
        <f t="shared" si="34"/>
        <v>0.33275999999999994</v>
      </c>
      <c r="L158" s="164">
        <f t="shared" si="34"/>
        <v>0.37637999999999994</v>
      </c>
      <c r="M158" s="124">
        <v>0.42</v>
      </c>
      <c r="N158" s="12">
        <f t="shared" si="34"/>
        <v>0.46361999999999998</v>
      </c>
      <c r="O158" s="127">
        <f t="shared" si="30"/>
        <v>0.50724000000000002</v>
      </c>
      <c r="P158" s="12">
        <f t="shared" si="30"/>
        <v>0.55086000000000002</v>
      </c>
      <c r="Q158" s="12">
        <f t="shared" si="30"/>
        <v>0.59448000000000001</v>
      </c>
      <c r="R158" s="132">
        <f t="shared" ref="R158:R168" si="35">$R$146</f>
        <v>0.63810000000000011</v>
      </c>
      <c r="S158" s="12"/>
      <c r="T158" s="11">
        <f t="shared" ref="T158:T167" si="36">M158</f>
        <v>0.42</v>
      </c>
      <c r="U158" s="11">
        <f t="shared" si="31"/>
        <v>0.63810000000000011</v>
      </c>
      <c r="V158" s="90" t="s">
        <v>44</v>
      </c>
      <c r="W158" s="91">
        <f>INDEX(LINEST(T158:U158,(T$44:U$44)^{1}),1)</f>
        <v>4.362000000000002E-2</v>
      </c>
      <c r="X158" s="91">
        <f>INDEX(LINEST(T158:U158,(T$44:U$44)^{1}),1,2)</f>
        <v>0.37637999999999994</v>
      </c>
    </row>
    <row r="159" spans="1:24" x14ac:dyDescent="0.25">
      <c r="A159" s="83"/>
      <c r="B159" s="4">
        <v>3</v>
      </c>
      <c r="C159" s="5">
        <v>0.54</v>
      </c>
      <c r="D159" s="5">
        <f t="shared" si="32"/>
        <v>0.52</v>
      </c>
      <c r="E159" s="11">
        <f t="shared" si="33"/>
        <v>1.0456521739130433</v>
      </c>
      <c r="F159" s="49">
        <f t="shared" si="28"/>
        <v>0.92741935483870974</v>
      </c>
      <c r="G159" s="14">
        <f t="shared" si="34"/>
        <v>0.24628</v>
      </c>
      <c r="H159" s="14">
        <f t="shared" si="34"/>
        <v>0.28190000000000004</v>
      </c>
      <c r="I159" s="14">
        <f t="shared" si="34"/>
        <v>0.31752000000000002</v>
      </c>
      <c r="J159" s="14">
        <f t="shared" si="34"/>
        <v>0.35314000000000001</v>
      </c>
      <c r="K159" s="14">
        <f t="shared" si="34"/>
        <v>0.38876000000000005</v>
      </c>
      <c r="L159" s="165">
        <f t="shared" si="34"/>
        <v>0.42438000000000003</v>
      </c>
      <c r="M159" s="125">
        <v>0.46</v>
      </c>
      <c r="N159" s="14">
        <f t="shared" si="34"/>
        <v>0.49562000000000006</v>
      </c>
      <c r="O159" s="128">
        <f t="shared" si="30"/>
        <v>0.53124000000000005</v>
      </c>
      <c r="P159" s="14">
        <f t="shared" si="30"/>
        <v>0.56686000000000003</v>
      </c>
      <c r="Q159" s="14">
        <f t="shared" si="30"/>
        <v>0.60248000000000013</v>
      </c>
      <c r="R159" s="133">
        <f t="shared" si="35"/>
        <v>0.63810000000000011</v>
      </c>
      <c r="S159" s="12"/>
      <c r="T159" s="11">
        <f t="shared" si="36"/>
        <v>0.46</v>
      </c>
      <c r="U159" s="11">
        <f t="shared" si="31"/>
        <v>0.63810000000000011</v>
      </c>
      <c r="V159" s="90" t="s">
        <v>44</v>
      </c>
      <c r="W159" s="91">
        <f>INDEX(LINEST(T159:U159,(T$44:U$44)^{1}),1)</f>
        <v>3.5620000000000006E-2</v>
      </c>
      <c r="X159" s="91">
        <f>INDEX(LINEST(T159:U159,(T$44:U$44)^{1}),1,2)</f>
        <v>0.42438000000000003</v>
      </c>
    </row>
    <row r="160" spans="1:24" x14ac:dyDescent="0.25">
      <c r="A160" s="83"/>
      <c r="B160" s="4">
        <v>4</v>
      </c>
      <c r="C160" s="1">
        <v>0.53</v>
      </c>
      <c r="D160" s="1">
        <f t="shared" si="32"/>
        <v>0.51</v>
      </c>
      <c r="E160" s="11">
        <f t="shared" si="33"/>
        <v>1.0443548387096775</v>
      </c>
      <c r="F160" s="49">
        <f t="shared" si="28"/>
        <v>0.93584905660377349</v>
      </c>
      <c r="G160" s="12">
        <f t="shared" si="34"/>
        <v>0.32547999999999994</v>
      </c>
      <c r="H160" s="12">
        <f t="shared" si="34"/>
        <v>0.35389999999999994</v>
      </c>
      <c r="I160" s="12">
        <f t="shared" si="34"/>
        <v>0.38231999999999994</v>
      </c>
      <c r="J160" s="12">
        <f t="shared" si="34"/>
        <v>0.41073999999999999</v>
      </c>
      <c r="K160" s="12">
        <f t="shared" si="34"/>
        <v>0.43915999999999999</v>
      </c>
      <c r="L160" s="164">
        <f t="shared" si="34"/>
        <v>0.46758</v>
      </c>
      <c r="M160" s="124">
        <v>0.496</v>
      </c>
      <c r="N160" s="12">
        <f t="shared" si="34"/>
        <v>0.52442</v>
      </c>
      <c r="O160" s="127">
        <f t="shared" si="30"/>
        <v>0.55284</v>
      </c>
      <c r="P160" s="12">
        <f t="shared" si="30"/>
        <v>0.58126000000000011</v>
      </c>
      <c r="Q160" s="12">
        <f t="shared" si="30"/>
        <v>0.60968</v>
      </c>
      <c r="R160" s="132">
        <f t="shared" si="35"/>
        <v>0.63810000000000011</v>
      </c>
      <c r="S160" s="12"/>
      <c r="T160" s="11">
        <f t="shared" si="36"/>
        <v>0.496</v>
      </c>
      <c r="U160" s="11">
        <f t="shared" si="31"/>
        <v>0.63810000000000011</v>
      </c>
      <c r="V160" s="90" t="s">
        <v>44</v>
      </c>
      <c r="W160" s="91">
        <f>INDEX(LINEST(T160:U160,(T$44:U$44)^{1}),1)</f>
        <v>2.8420000000000015E-2</v>
      </c>
      <c r="X160" s="91">
        <f>INDEX(LINEST(T160:U160,(T$44:U$44)^{1}),1,2)</f>
        <v>0.46758</v>
      </c>
    </row>
    <row r="161" spans="1:25" x14ac:dyDescent="0.25">
      <c r="A161" s="83"/>
      <c r="B161" s="4">
        <v>5</v>
      </c>
      <c r="C161" s="1">
        <v>0.56000000000000005</v>
      </c>
      <c r="D161" s="1">
        <f t="shared" si="32"/>
        <v>0.54</v>
      </c>
      <c r="E161" s="11">
        <f t="shared" si="33"/>
        <v>1.0339622641509434</v>
      </c>
      <c r="F161" s="49">
        <f t="shared" si="28"/>
        <v>0.91537132987910197</v>
      </c>
      <c r="G161" s="12">
        <f t="shared" si="34"/>
        <v>0.40027999999999997</v>
      </c>
      <c r="H161" s="12">
        <f t="shared" si="34"/>
        <v>0.4219</v>
      </c>
      <c r="I161" s="12">
        <f t="shared" si="34"/>
        <v>0.44352000000000003</v>
      </c>
      <c r="J161" s="12">
        <f t="shared" si="34"/>
        <v>0.46514</v>
      </c>
      <c r="K161" s="12">
        <f t="shared" si="34"/>
        <v>0.48676000000000003</v>
      </c>
      <c r="L161" s="164">
        <f t="shared" si="34"/>
        <v>0.50838000000000005</v>
      </c>
      <c r="M161" s="124">
        <v>0.53</v>
      </c>
      <c r="N161" s="12">
        <f t="shared" si="34"/>
        <v>0.55162000000000011</v>
      </c>
      <c r="O161" s="127">
        <f t="shared" si="30"/>
        <v>0.57324000000000008</v>
      </c>
      <c r="P161" s="12">
        <f t="shared" si="30"/>
        <v>0.59486000000000017</v>
      </c>
      <c r="Q161" s="12">
        <f t="shared" si="30"/>
        <v>0.61648000000000014</v>
      </c>
      <c r="R161" s="132">
        <f t="shared" si="35"/>
        <v>0.63810000000000011</v>
      </c>
      <c r="S161" s="12"/>
      <c r="T161" s="11">
        <f t="shared" si="36"/>
        <v>0.53</v>
      </c>
      <c r="U161" s="11">
        <f t="shared" si="31"/>
        <v>0.63810000000000011</v>
      </c>
      <c r="V161" s="90" t="s">
        <v>44</v>
      </c>
      <c r="W161" s="91">
        <f>INDEX(LINEST(T161:U161,(T$44:U$44)^{1}),1)</f>
        <v>2.1620000000000014E-2</v>
      </c>
      <c r="X161" s="91">
        <f>INDEX(LINEST(T161:U161,(T$44:U$44)^{1}),1,2)</f>
        <v>0.50838000000000005</v>
      </c>
    </row>
    <row r="162" spans="1:25" x14ac:dyDescent="0.25">
      <c r="A162" s="83"/>
      <c r="B162" s="4">
        <v>10</v>
      </c>
      <c r="C162" s="5">
        <v>0.64</v>
      </c>
      <c r="D162" s="5">
        <f t="shared" si="32"/>
        <v>0.62</v>
      </c>
      <c r="E162" s="11">
        <f t="shared" si="33"/>
        <v>1.069084628670121</v>
      </c>
      <c r="F162" s="49">
        <f t="shared" si="28"/>
        <v>0.94918032786885242</v>
      </c>
      <c r="G162" s="14">
        <f t="shared" si="34"/>
        <v>0.50807999999999975</v>
      </c>
      <c r="H162" s="14">
        <f t="shared" si="34"/>
        <v>0.51989999999999981</v>
      </c>
      <c r="I162" s="14">
        <f t="shared" si="34"/>
        <v>0.53171999999999986</v>
      </c>
      <c r="J162" s="14">
        <f t="shared" si="34"/>
        <v>0.5435399999999998</v>
      </c>
      <c r="K162" s="14">
        <f>($W162*K$44)+$X162</f>
        <v>0.55535999999999985</v>
      </c>
      <c r="L162" s="165">
        <f t="shared" si="34"/>
        <v>0.56717999999999991</v>
      </c>
      <c r="M162" s="125">
        <v>0.57899999999999996</v>
      </c>
      <c r="N162" s="14">
        <f>($W162*N$44)+$X162</f>
        <v>0.59082000000000001</v>
      </c>
      <c r="O162" s="128">
        <f t="shared" si="30"/>
        <v>0.60263999999999995</v>
      </c>
      <c r="P162" s="14">
        <f t="shared" si="30"/>
        <v>0.61446000000000001</v>
      </c>
      <c r="Q162" s="14">
        <f t="shared" si="30"/>
        <v>0.62628000000000006</v>
      </c>
      <c r="R162" s="133">
        <f t="shared" si="35"/>
        <v>0.63810000000000011</v>
      </c>
      <c r="S162" s="12"/>
      <c r="T162" s="11">
        <f t="shared" si="36"/>
        <v>0.57899999999999996</v>
      </c>
      <c r="U162" s="11">
        <f t="shared" si="31"/>
        <v>0.63810000000000011</v>
      </c>
      <c r="V162" s="90" t="s">
        <v>44</v>
      </c>
      <c r="W162" s="91">
        <f>INDEX(LINEST(T162:U162,(T$44:U$44)^{1}),1)</f>
        <v>1.1820000000000027E-2</v>
      </c>
      <c r="X162" s="91">
        <f>INDEX(LINEST(T162:U162,(T$44:U$44)^{1}),1,2)</f>
        <v>0.56717999999999991</v>
      </c>
    </row>
    <row r="163" spans="1:25" x14ac:dyDescent="0.25">
      <c r="A163" s="83"/>
      <c r="B163" s="4">
        <v>20</v>
      </c>
      <c r="C163" s="1">
        <v>0.66</v>
      </c>
      <c r="D163" s="1">
        <f t="shared" si="32"/>
        <v>0.64</v>
      </c>
      <c r="E163" s="11">
        <f t="shared" si="33"/>
        <v>1.0819672131147542</v>
      </c>
      <c r="F163" s="49">
        <f t="shared" si="28"/>
        <v>0.97913322632423749</v>
      </c>
      <c r="G163" s="12">
        <f t="shared" si="34"/>
        <v>0.57627999999999979</v>
      </c>
      <c r="H163" s="12">
        <f t="shared" si="34"/>
        <v>0.58189999999999986</v>
      </c>
      <c r="I163" s="12">
        <f t="shared" si="34"/>
        <v>0.58751999999999982</v>
      </c>
      <c r="J163" s="12">
        <f t="shared" si="34"/>
        <v>0.59313999999999989</v>
      </c>
      <c r="K163" s="12">
        <f t="shared" si="34"/>
        <v>0.59875999999999985</v>
      </c>
      <c r="L163" s="164">
        <f t="shared" si="34"/>
        <v>0.60437999999999992</v>
      </c>
      <c r="M163" s="124">
        <v>0.61</v>
      </c>
      <c r="N163" s="12">
        <f t="shared" si="34"/>
        <v>0.61561999999999995</v>
      </c>
      <c r="O163" s="127">
        <f t="shared" si="30"/>
        <v>0.62124000000000001</v>
      </c>
      <c r="P163" s="12">
        <f t="shared" si="30"/>
        <v>0.62685999999999997</v>
      </c>
      <c r="Q163" s="12">
        <f t="shared" si="30"/>
        <v>0.63248000000000004</v>
      </c>
      <c r="R163" s="132">
        <f t="shared" si="35"/>
        <v>0.63810000000000011</v>
      </c>
      <c r="S163" s="12"/>
      <c r="T163" s="11">
        <f t="shared" si="36"/>
        <v>0.61</v>
      </c>
      <c r="U163" s="11">
        <f t="shared" si="31"/>
        <v>0.63810000000000011</v>
      </c>
      <c r="V163" s="90" t="s">
        <v>44</v>
      </c>
      <c r="W163" s="91">
        <f>INDEX(LINEST(T163:U163,(T$44:U$44)^{1}),1)</f>
        <v>5.6200000000000243E-3</v>
      </c>
      <c r="X163" s="91">
        <f>INDEX(LINEST(T163:U163,(T$44:U$44)^{1}),1,2)</f>
        <v>0.60437999999999992</v>
      </c>
    </row>
    <row r="164" spans="1:25" x14ac:dyDescent="0.25">
      <c r="A164" s="83"/>
      <c r="B164" s="4">
        <v>30</v>
      </c>
      <c r="C164" s="1">
        <v>0.68</v>
      </c>
      <c r="D164" s="1">
        <f t="shared" si="32"/>
        <v>0.66</v>
      </c>
      <c r="E164" s="11">
        <f t="shared" si="33"/>
        <v>1.0802568218298556</v>
      </c>
      <c r="F164" s="49">
        <f t="shared" si="28"/>
        <v>0.98888888888888893</v>
      </c>
      <c r="G164" s="12">
        <f t="shared" si="34"/>
        <v>0.60487999999999986</v>
      </c>
      <c r="H164" s="12">
        <f t="shared" si="34"/>
        <v>0.60789999999999988</v>
      </c>
      <c r="I164" s="12">
        <f t="shared" si="34"/>
        <v>0.61091999999999991</v>
      </c>
      <c r="J164" s="12">
        <f t="shared" si="34"/>
        <v>0.61393999999999993</v>
      </c>
      <c r="K164" s="12">
        <f t="shared" si="34"/>
        <v>0.61695999999999995</v>
      </c>
      <c r="L164" s="164">
        <f t="shared" si="34"/>
        <v>0.61997999999999998</v>
      </c>
      <c r="M164" s="124">
        <v>0.623</v>
      </c>
      <c r="N164" s="12">
        <f t="shared" si="34"/>
        <v>0.62602000000000002</v>
      </c>
      <c r="O164" s="127">
        <f t="shared" si="30"/>
        <v>0.62904000000000004</v>
      </c>
      <c r="P164" s="12">
        <f t="shared" si="30"/>
        <v>0.63206000000000007</v>
      </c>
      <c r="Q164" s="12">
        <f t="shared" si="30"/>
        <v>0.63508000000000009</v>
      </c>
      <c r="R164" s="132">
        <f t="shared" si="35"/>
        <v>0.63810000000000011</v>
      </c>
      <c r="S164" s="12"/>
      <c r="T164" s="11">
        <f t="shared" si="36"/>
        <v>0.623</v>
      </c>
      <c r="U164" s="11">
        <f t="shared" si="31"/>
        <v>0.63810000000000011</v>
      </c>
      <c r="V164" s="90" t="s">
        <v>44</v>
      </c>
      <c r="W164" s="91">
        <f>INDEX(LINEST(T164:U164,(T$44:U$44)^{1}),1)</f>
        <v>3.0200000000000218E-3</v>
      </c>
      <c r="X164" s="91">
        <f>INDEX(LINEST(T164:U164,(T$44:U$44)^{1}),1,2)</f>
        <v>0.61997999999999998</v>
      </c>
    </row>
    <row r="165" spans="1:25" x14ac:dyDescent="0.25">
      <c r="A165" s="83"/>
      <c r="B165" s="4">
        <v>40</v>
      </c>
      <c r="C165" s="1">
        <v>0.69</v>
      </c>
      <c r="D165" s="1">
        <f t="shared" si="32"/>
        <v>0.66999999999999993</v>
      </c>
      <c r="E165" s="11">
        <f t="shared" si="33"/>
        <v>1.0793650793650795</v>
      </c>
      <c r="F165" s="49">
        <f t="shared" si="28"/>
        <v>0.99369085173501581</v>
      </c>
      <c r="G165" s="12">
        <f t="shared" si="34"/>
        <v>0.62027999999999983</v>
      </c>
      <c r="H165" s="12">
        <f t="shared" si="34"/>
        <v>0.6218999999999999</v>
      </c>
      <c r="I165" s="12">
        <f t="shared" si="34"/>
        <v>0.62351999999999985</v>
      </c>
      <c r="J165" s="12">
        <f t="shared" si="34"/>
        <v>0.62513999999999992</v>
      </c>
      <c r="K165" s="12">
        <f t="shared" si="34"/>
        <v>0.62675999999999987</v>
      </c>
      <c r="L165" s="164">
        <f t="shared" si="34"/>
        <v>0.62837999999999994</v>
      </c>
      <c r="M165" s="124">
        <v>0.63</v>
      </c>
      <c r="N165" s="12">
        <f t="shared" si="34"/>
        <v>0.63161999999999996</v>
      </c>
      <c r="O165" s="127">
        <f t="shared" si="30"/>
        <v>0.63324000000000003</v>
      </c>
      <c r="P165" s="12">
        <f t="shared" si="30"/>
        <v>0.63485999999999998</v>
      </c>
      <c r="Q165" s="12">
        <f t="shared" si="30"/>
        <v>0.63648000000000005</v>
      </c>
      <c r="R165" s="132">
        <f t="shared" si="35"/>
        <v>0.63810000000000011</v>
      </c>
      <c r="S165" s="12"/>
      <c r="T165" s="11">
        <f t="shared" si="36"/>
        <v>0.63</v>
      </c>
      <c r="U165" s="11">
        <f t="shared" si="31"/>
        <v>0.63810000000000011</v>
      </c>
      <c r="V165" s="90" t="s">
        <v>44</v>
      </c>
      <c r="W165" s="91">
        <f>INDEX(LINEST(T165:U165,(T$44:U$44)^{1}),1)</f>
        <v>1.6200000000000214E-3</v>
      </c>
      <c r="X165" s="91">
        <f>INDEX(LINEST(T165:U165,(T$44:U$44)^{1}),1,2)</f>
        <v>0.62837999999999994</v>
      </c>
    </row>
    <row r="166" spans="1:25" x14ac:dyDescent="0.25">
      <c r="A166" s="83"/>
      <c r="B166" s="4">
        <v>50</v>
      </c>
      <c r="C166" s="1">
        <v>0.71</v>
      </c>
      <c r="D166" s="1">
        <f t="shared" si="32"/>
        <v>0.69</v>
      </c>
      <c r="E166" s="11">
        <f t="shared" si="33"/>
        <v>1.078864353312303</v>
      </c>
      <c r="F166" s="49">
        <f t="shared" si="28"/>
        <v>0.9952904238618524</v>
      </c>
      <c r="G166" s="12">
        <f t="shared" si="34"/>
        <v>0.62907999999999986</v>
      </c>
      <c r="H166" s="12">
        <f t="shared" si="34"/>
        <v>0.6298999999999999</v>
      </c>
      <c r="I166" s="12">
        <f t="shared" si="34"/>
        <v>0.63071999999999995</v>
      </c>
      <c r="J166" s="12">
        <f t="shared" si="34"/>
        <v>0.63153999999999988</v>
      </c>
      <c r="K166" s="12">
        <f t="shared" si="34"/>
        <v>0.63235999999999992</v>
      </c>
      <c r="L166" s="164">
        <f t="shared" si="34"/>
        <v>0.63317999999999997</v>
      </c>
      <c r="M166" s="124">
        <v>0.63400000000000001</v>
      </c>
      <c r="N166" s="12">
        <f t="shared" si="34"/>
        <v>0.63482000000000005</v>
      </c>
      <c r="O166" s="127">
        <f t="shared" si="30"/>
        <v>0.63563999999999998</v>
      </c>
      <c r="P166" s="12">
        <f t="shared" si="30"/>
        <v>0.63646000000000003</v>
      </c>
      <c r="Q166" s="12">
        <f t="shared" si="30"/>
        <v>0.63728000000000007</v>
      </c>
      <c r="R166" s="132">
        <f t="shared" si="35"/>
        <v>0.63810000000000011</v>
      </c>
      <c r="S166" s="12"/>
      <c r="T166" s="11">
        <f t="shared" si="36"/>
        <v>0.63400000000000001</v>
      </c>
      <c r="U166" s="11">
        <f t="shared" si="31"/>
        <v>0.63810000000000011</v>
      </c>
      <c r="V166" s="90" t="s">
        <v>44</v>
      </c>
      <c r="W166" s="91">
        <f>INDEX(LINEST(T166:U166,(T$44:U$44)^{1}),1)</f>
        <v>8.2000000000002047E-4</v>
      </c>
      <c r="X166" s="91">
        <f>INDEX(LINEST(T166:U166,(T$44:U$44)^{1}),1,2)</f>
        <v>0.63317999999999997</v>
      </c>
    </row>
    <row r="167" spans="1:25" x14ac:dyDescent="0.25">
      <c r="A167" s="83"/>
      <c r="B167" s="4">
        <v>60</v>
      </c>
      <c r="C167" s="1">
        <v>0.72</v>
      </c>
      <c r="D167" s="1">
        <f t="shared" si="32"/>
        <v>0.7</v>
      </c>
      <c r="E167" s="11">
        <f t="shared" si="33"/>
        <v>1.0784929356357928</v>
      </c>
      <c r="F167" s="49">
        <f t="shared" si="28"/>
        <v>0.99843260188087779</v>
      </c>
      <c r="G167" s="12">
        <f t="shared" si="34"/>
        <v>0.63567999999999991</v>
      </c>
      <c r="H167" s="12">
        <f t="shared" si="34"/>
        <v>0.63589999999999991</v>
      </c>
      <c r="I167" s="12">
        <f t="shared" si="34"/>
        <v>0.63611999999999991</v>
      </c>
      <c r="J167" s="12">
        <f t="shared" si="34"/>
        <v>0.63634000000000002</v>
      </c>
      <c r="K167" s="12">
        <f t="shared" si="34"/>
        <v>0.63656000000000001</v>
      </c>
      <c r="L167" s="164">
        <f t="shared" si="34"/>
        <v>0.63678000000000001</v>
      </c>
      <c r="M167" s="124">
        <v>0.63700000000000001</v>
      </c>
      <c r="N167" s="12">
        <f t="shared" si="34"/>
        <v>0.63722000000000001</v>
      </c>
      <c r="O167" s="127">
        <f t="shared" si="30"/>
        <v>0.63744000000000012</v>
      </c>
      <c r="P167" s="12">
        <f t="shared" si="30"/>
        <v>0.63766000000000012</v>
      </c>
      <c r="Q167" s="12">
        <f t="shared" si="30"/>
        <v>0.63788000000000011</v>
      </c>
      <c r="R167" s="132">
        <f t="shared" si="35"/>
        <v>0.63810000000000011</v>
      </c>
      <c r="S167" s="12"/>
      <c r="T167" s="11">
        <f t="shared" si="36"/>
        <v>0.63700000000000001</v>
      </c>
      <c r="U167" s="11">
        <f t="shared" si="31"/>
        <v>0.63810000000000011</v>
      </c>
      <c r="V167" s="90" t="s">
        <v>44</v>
      </c>
      <c r="W167" s="91">
        <f>INDEX(LINEST(T167:U167,(T$44:U$44)^{1}),1)</f>
        <v>2.2000000000002009E-4</v>
      </c>
      <c r="X167" s="91">
        <f>INDEX(LINEST(T167:U167,(T$44:U$44)^{1}),1,2)</f>
        <v>0.63678000000000001</v>
      </c>
    </row>
    <row r="168" spans="1:25" x14ac:dyDescent="0.25">
      <c r="A168" s="83"/>
      <c r="B168" s="4">
        <v>70</v>
      </c>
      <c r="C168" s="5">
        <v>0.72</v>
      </c>
      <c r="D168" s="5">
        <f t="shared" si="32"/>
        <v>0.7</v>
      </c>
      <c r="E168" s="11">
        <f t="shared" si="33"/>
        <v>1.0802507836990596</v>
      </c>
      <c r="F168" s="52">
        <f>M168/M168</f>
        <v>1</v>
      </c>
      <c r="G168" s="53">
        <f t="shared" si="34"/>
        <v>0.63787999999999989</v>
      </c>
      <c r="H168" s="53">
        <f t="shared" si="34"/>
        <v>0.63789999999999991</v>
      </c>
      <c r="I168" s="53">
        <f t="shared" si="34"/>
        <v>0.63791999999999993</v>
      </c>
      <c r="J168" s="53">
        <f t="shared" si="34"/>
        <v>0.63793999999999995</v>
      </c>
      <c r="K168" s="53">
        <f t="shared" si="34"/>
        <v>0.63795999999999997</v>
      </c>
      <c r="L168" s="166">
        <f t="shared" si="34"/>
        <v>0.63797999999999999</v>
      </c>
      <c r="M168" s="203">
        <v>0.63800000000000001</v>
      </c>
      <c r="N168" s="53">
        <f>($W168*N$44)+$X168</f>
        <v>0.63802000000000003</v>
      </c>
      <c r="O168" s="129">
        <f t="shared" si="30"/>
        <v>0.63804000000000005</v>
      </c>
      <c r="P168" s="53">
        <f t="shared" si="30"/>
        <v>0.63806000000000007</v>
      </c>
      <c r="Q168" s="53">
        <f t="shared" si="30"/>
        <v>0.63808000000000009</v>
      </c>
      <c r="R168" s="134">
        <f t="shared" si="35"/>
        <v>0.63810000000000011</v>
      </c>
      <c r="S168" s="12"/>
      <c r="T168" s="11">
        <f>M168</f>
        <v>0.63800000000000001</v>
      </c>
      <c r="U168" s="11">
        <f>R168</f>
        <v>0.63810000000000011</v>
      </c>
      <c r="V168" s="90" t="s">
        <v>44</v>
      </c>
      <c r="W168" s="91">
        <f>INDEX(LINEST(T168:U168,(T$44:U$44)^{1}),1)</f>
        <v>2.0000000000019995E-5</v>
      </c>
      <c r="X168" s="91">
        <f>INDEX(LINEST(T168:U168,(T$44:U$44)^{1}),1,2)</f>
        <v>0.63797999999999999</v>
      </c>
    </row>
    <row r="169" spans="1:25" x14ac:dyDescent="0.25">
      <c r="A169" s="83"/>
      <c r="M169">
        <f>M168/M157</f>
        <v>1.7722222222222224</v>
      </c>
      <c r="T169" s="1"/>
      <c r="U169" s="1"/>
      <c r="V169" s="90"/>
    </row>
    <row r="170" spans="1:25" ht="15.75" x14ac:dyDescent="0.25">
      <c r="D170" s="20" t="s">
        <v>78</v>
      </c>
      <c r="M170" s="170">
        <f>M168/M163</f>
        <v>1.0459016393442624</v>
      </c>
      <c r="T170" s="189" t="s">
        <v>131</v>
      </c>
      <c r="U170" s="1"/>
      <c r="V170" s="90"/>
    </row>
    <row r="171" spans="1:25" ht="15.75" x14ac:dyDescent="0.25">
      <c r="D171" s="20" t="s">
        <v>99</v>
      </c>
      <c r="T171" s="189" t="s">
        <v>132</v>
      </c>
      <c r="U171" s="1"/>
      <c r="V171" s="90"/>
    </row>
    <row r="172" spans="1:25" ht="15.75" thickBot="1" x14ac:dyDescent="0.3">
      <c r="D172" s="20" t="s">
        <v>100</v>
      </c>
      <c r="T172" s="1"/>
    </row>
    <row r="173" spans="1:25" x14ac:dyDescent="0.25">
      <c r="D173" s="20"/>
      <c r="T173" s="1"/>
      <c r="V173" s="79" t="s">
        <v>136</v>
      </c>
      <c r="W173" s="81"/>
      <c r="X173" s="81"/>
      <c r="Y173" s="82"/>
    </row>
    <row r="174" spans="1:25" x14ac:dyDescent="0.25">
      <c r="T174" s="1"/>
      <c r="U174" s="7"/>
      <c r="V174" s="83"/>
      <c r="Y174" s="84"/>
    </row>
    <row r="175" spans="1:25" x14ac:dyDescent="0.25">
      <c r="B175" s="188" t="s">
        <v>130</v>
      </c>
      <c r="H175" s="4" t="s">
        <v>9</v>
      </c>
      <c r="I175" s="190" t="s">
        <v>134</v>
      </c>
      <c r="J175" s="190"/>
      <c r="K175" s="190"/>
      <c r="L175" s="172" t="s">
        <v>151</v>
      </c>
      <c r="M175" s="204" t="s">
        <v>152</v>
      </c>
      <c r="N175" s="42" t="s">
        <v>153</v>
      </c>
      <c r="O175" s="173" t="s">
        <v>165</v>
      </c>
      <c r="T175" s="122" t="s">
        <v>133</v>
      </c>
      <c r="V175" s="196" t="s">
        <v>77</v>
      </c>
      <c r="W175">
        <f>0.65/0.7</f>
        <v>0.92857142857142871</v>
      </c>
      <c r="X175" s="1" t="s">
        <v>103</v>
      </c>
      <c r="Y175" s="191" t="s">
        <v>112</v>
      </c>
    </row>
    <row r="176" spans="1:25" x14ac:dyDescent="0.25">
      <c r="B176" s="174" t="s">
        <v>135</v>
      </c>
      <c r="H176" s="4">
        <v>1</v>
      </c>
      <c r="J176" s="63"/>
      <c r="K176" s="63"/>
      <c r="L176" s="63">
        <f t="shared" ref="L176:O187" si="37">(L157*$D$122*SQRT(4*$D$124*$B$128/32.2)/12)*$H176/2</f>
        <v>0.94203897758596333</v>
      </c>
      <c r="M176" s="63">
        <f t="shared" si="37"/>
        <v>1.1141797487710978</v>
      </c>
      <c r="N176" s="63">
        <f t="shared" si="37"/>
        <v>1.2863205199562329</v>
      </c>
      <c r="O176" s="63">
        <f t="shared" si="37"/>
        <v>1.4584612911413675</v>
      </c>
      <c r="P176" s="63"/>
      <c r="Q176" s="63"/>
      <c r="R176" s="63"/>
      <c r="T176" s="205">
        <f>'curve_rzeta_targetnu_add_2.5'!N168</f>
        <v>1.1677414728880835</v>
      </c>
      <c r="V176" s="83"/>
      <c r="W176" s="153">
        <f t="shared" ref="W176:W187" si="38">X176*$W$175</f>
        <v>1.1142857142857143</v>
      </c>
      <c r="X176" s="149">
        <v>1.2</v>
      </c>
      <c r="Y176" s="192">
        <f>T176/W176</f>
        <v>1.0479731166944339</v>
      </c>
    </row>
    <row r="177" spans="1:25" x14ac:dyDescent="0.25">
      <c r="B177" s="174" t="s">
        <v>143</v>
      </c>
      <c r="H177" s="4">
        <v>2</v>
      </c>
      <c r="J177" s="58"/>
      <c r="K177" s="58"/>
      <c r="L177" s="58">
        <f t="shared" si="37"/>
        <v>2.3297498546803652</v>
      </c>
      <c r="M177" s="58">
        <f t="shared" si="37"/>
        <v>2.5997527471325617</v>
      </c>
      <c r="N177" s="58">
        <f t="shared" si="37"/>
        <v>2.8697556395847577</v>
      </c>
      <c r="O177" s="58">
        <f t="shared" si="37"/>
        <v>3.1397585320369541</v>
      </c>
      <c r="P177" s="58"/>
      <c r="Q177" s="58"/>
      <c r="R177" s="58"/>
      <c r="T177" s="11">
        <f>'curve_rzeta_targetnu_add_2.5'!N169</f>
        <v>0.82386505351961636</v>
      </c>
      <c r="U177" s="115"/>
      <c r="V177" s="83"/>
      <c r="W177" s="154">
        <f t="shared" si="38"/>
        <v>0.78928571428571437</v>
      </c>
      <c r="X177" s="150">
        <v>0.85</v>
      </c>
      <c r="Y177" s="192">
        <f t="shared" ref="Y177:Y181" si="39">T177/W177</f>
        <v>1.0438109275361653</v>
      </c>
    </row>
    <row r="178" spans="1:25" x14ac:dyDescent="0.25">
      <c r="H178" s="4">
        <v>3</v>
      </c>
      <c r="J178" s="67"/>
      <c r="K178" s="67"/>
      <c r="L178" s="67">
        <f t="shared" si="37"/>
        <v>3.9402966815289884</v>
      </c>
      <c r="M178" s="67">
        <f t="shared" si="37"/>
        <v>4.2710223702892094</v>
      </c>
      <c r="N178" s="67">
        <f t="shared" si="37"/>
        <v>4.60174805904943</v>
      </c>
      <c r="O178" s="67">
        <f t="shared" si="37"/>
        <v>4.9324737478096505</v>
      </c>
      <c r="P178" s="67"/>
      <c r="Q178" s="67"/>
      <c r="R178" s="67"/>
      <c r="T178" s="205">
        <f>'curve_rzeta_targetnu_add_2.5'!N170</f>
        <v>0.72923910681975856</v>
      </c>
      <c r="U178" s="115"/>
      <c r="V178" s="83"/>
      <c r="W178" s="157">
        <f t="shared" si="38"/>
        <v>0.69642857142857151</v>
      </c>
      <c r="X178" s="158">
        <v>0.75</v>
      </c>
      <c r="Y178" s="192">
        <f t="shared" si="39"/>
        <v>1.0471125636386276</v>
      </c>
    </row>
    <row r="179" spans="1:25" x14ac:dyDescent="0.25">
      <c r="H179" s="4">
        <v>4</v>
      </c>
      <c r="J179" s="58"/>
      <c r="K179" s="58"/>
      <c r="L179" s="58">
        <f t="shared" si="37"/>
        <v>5.7885351881154437</v>
      </c>
      <c r="M179" s="58">
        <f t="shared" si="37"/>
        <v>6.1403683932273845</v>
      </c>
      <c r="N179" s="58">
        <f t="shared" si="37"/>
        <v>6.4922015983393244</v>
      </c>
      <c r="O179" s="58">
        <f t="shared" si="37"/>
        <v>6.8440348034512644</v>
      </c>
      <c r="P179" s="58"/>
      <c r="Q179" s="58"/>
      <c r="R179" s="58"/>
      <c r="T179" s="11">
        <f>'curve_rzeta_targetnu_add_2.5'!N171</f>
        <v>0.69792575460820117</v>
      </c>
      <c r="U179" s="115"/>
      <c r="V179" s="83"/>
      <c r="W179" s="154">
        <f t="shared" si="38"/>
        <v>0.66857142857142859</v>
      </c>
      <c r="X179" s="150">
        <v>0.72</v>
      </c>
      <c r="Y179" s="192">
        <f t="shared" si="39"/>
        <v>1.0439060432173948</v>
      </c>
    </row>
    <row r="180" spans="1:25" x14ac:dyDescent="0.25">
      <c r="H180" s="4">
        <v>5</v>
      </c>
      <c r="J180" s="58"/>
      <c r="K180" s="58"/>
      <c r="L180" s="58">
        <f t="shared" si="37"/>
        <v>7.8670375094479281</v>
      </c>
      <c r="M180" s="58">
        <f t="shared" si="37"/>
        <v>8.2016009284539155</v>
      </c>
      <c r="N180" s="58">
        <f t="shared" si="37"/>
        <v>8.5361643474599056</v>
      </c>
      <c r="O180" s="58">
        <f t="shared" si="37"/>
        <v>8.8707277664658903</v>
      </c>
      <c r="P180" s="58"/>
      <c r="Q180" s="58"/>
      <c r="R180" s="58"/>
      <c r="T180" s="11">
        <f>'curve_rzeta_targetnu_add_2.5'!N172</f>
        <v>0.69153744966350494</v>
      </c>
      <c r="U180" s="115"/>
      <c r="V180" s="83"/>
      <c r="W180" s="154">
        <f t="shared" si="38"/>
        <v>0.65928571428571436</v>
      </c>
      <c r="X180" s="150">
        <v>0.71</v>
      </c>
      <c r="Y180" s="192">
        <f t="shared" si="39"/>
        <v>1.0489192085903649</v>
      </c>
    </row>
    <row r="181" spans="1:25" x14ac:dyDescent="0.25">
      <c r="H181" s="4">
        <v>10</v>
      </c>
      <c r="J181" s="67"/>
      <c r="K181" s="67"/>
      <c r="L181" s="67">
        <f t="shared" si="37"/>
        <v>17.553901941888647</v>
      </c>
      <c r="M181" s="67">
        <f t="shared" si="37"/>
        <v>17.919724292735157</v>
      </c>
      <c r="N181" s="67">
        <f t="shared" si="37"/>
        <v>18.285546643581668</v>
      </c>
      <c r="O181" s="67">
        <f t="shared" si="37"/>
        <v>18.651368994428175</v>
      </c>
      <c r="P181" s="67"/>
      <c r="Q181" s="67"/>
      <c r="R181" s="67"/>
      <c r="T181" s="205">
        <f>'curve_rzeta_targetnu_add_2.5'!N173</f>
        <v>0.65976128967229586</v>
      </c>
      <c r="U181" s="115"/>
      <c r="V181" s="83"/>
      <c r="W181" s="157">
        <f>X181*$W$175</f>
        <v>0.65</v>
      </c>
      <c r="X181" s="158">
        <v>0.7</v>
      </c>
      <c r="Y181" s="192">
        <f t="shared" si="39"/>
        <v>1.0150173687266091</v>
      </c>
    </row>
    <row r="182" spans="1:25" x14ac:dyDescent="0.25">
      <c r="H182" s="4">
        <v>20</v>
      </c>
      <c r="J182" s="58"/>
      <c r="K182" s="58"/>
      <c r="L182" s="58">
        <f t="shared" si="37"/>
        <v>37.410442031237558</v>
      </c>
      <c r="M182" s="58">
        <f t="shared" si="37"/>
        <v>37.758313708353874</v>
      </c>
      <c r="N182" s="58">
        <f t="shared" si="37"/>
        <v>38.106185385470177</v>
      </c>
      <c r="O182" s="58">
        <f t="shared" si="37"/>
        <v>38.4540570625865</v>
      </c>
      <c r="P182" s="58"/>
      <c r="Q182" s="58"/>
      <c r="R182" s="58"/>
      <c r="T182" s="11">
        <f>'curve_rzeta_targetnu_add_2.5'!N174</f>
        <v>0.65037305576415483</v>
      </c>
      <c r="U182" s="115"/>
      <c r="V182" s="83"/>
      <c r="W182" s="154">
        <f t="shared" si="38"/>
        <v>0.65</v>
      </c>
      <c r="X182" s="150">
        <v>0.7</v>
      </c>
      <c r="Y182" s="84"/>
    </row>
    <row r="183" spans="1:25" x14ac:dyDescent="0.25">
      <c r="H183" s="4">
        <v>30</v>
      </c>
      <c r="J183" s="58"/>
      <c r="K183" s="58"/>
      <c r="L183" s="58">
        <f t="shared" si="37"/>
        <v>57.564096720258767</v>
      </c>
      <c r="M183" s="58">
        <f t="shared" si="37"/>
        <v>57.844498623699501</v>
      </c>
      <c r="N183" s="58">
        <f t="shared" si="37"/>
        <v>58.124900527140241</v>
      </c>
      <c r="O183" s="58">
        <f t="shared" si="37"/>
        <v>58.405302430580953</v>
      </c>
      <c r="P183" s="58"/>
      <c r="Q183" s="58"/>
      <c r="R183" s="58"/>
      <c r="T183" s="11">
        <f>'curve_rzeta_targetnu_add_2.5'!N175</f>
        <v>0.64991024798450303</v>
      </c>
      <c r="U183" s="115"/>
      <c r="V183" s="83"/>
      <c r="W183" s="154">
        <f t="shared" si="38"/>
        <v>0.65</v>
      </c>
      <c r="X183" s="150">
        <v>0.7</v>
      </c>
      <c r="Y183" s="84"/>
    </row>
    <row r="184" spans="1:25" x14ac:dyDescent="0.25">
      <c r="H184" s="4">
        <v>40</v>
      </c>
      <c r="J184" s="58"/>
      <c r="K184" s="58"/>
      <c r="L184" s="58">
        <f t="shared" si="37"/>
        <v>77.792030059198055</v>
      </c>
      <c r="M184" s="58">
        <f t="shared" si="37"/>
        <v>77.992582413976862</v>
      </c>
      <c r="N184" s="58">
        <f t="shared" si="37"/>
        <v>78.193134768755655</v>
      </c>
      <c r="O184" s="58">
        <f t="shared" si="37"/>
        <v>78.393687123534463</v>
      </c>
      <c r="P184" s="58"/>
      <c r="Q184" s="58"/>
      <c r="R184" s="58"/>
      <c r="T184" s="11">
        <f>'curve_rzeta_targetnu_add_2.5'!N176</f>
        <v>0.6501788322552513</v>
      </c>
      <c r="U184" s="115"/>
      <c r="V184" s="83"/>
      <c r="W184" s="154">
        <f t="shared" si="38"/>
        <v>0.65</v>
      </c>
      <c r="X184" s="150">
        <v>0.7</v>
      </c>
      <c r="Y184" s="84"/>
    </row>
    <row r="185" spans="1:25" x14ac:dyDescent="0.25">
      <c r="H185" s="4">
        <v>50</v>
      </c>
      <c r="J185" s="58"/>
      <c r="K185" s="58"/>
      <c r="L185" s="58">
        <f t="shared" si="37"/>
        <v>97.982824073178293</v>
      </c>
      <c r="M185" s="58">
        <f t="shared" si="37"/>
        <v>98.109716766788338</v>
      </c>
      <c r="N185" s="58">
        <f t="shared" si="37"/>
        <v>98.236609460398398</v>
      </c>
      <c r="O185" s="58">
        <f t="shared" si="37"/>
        <v>98.36350215400843</v>
      </c>
      <c r="P185" s="58"/>
      <c r="Q185" s="58"/>
      <c r="R185" s="58"/>
      <c r="T185" s="11">
        <f>'curve_rzeta_targetnu_add_2.5'!N177</f>
        <v>0.65013998755347047</v>
      </c>
      <c r="V185" s="83"/>
      <c r="W185" s="154">
        <f t="shared" si="38"/>
        <v>0.65</v>
      </c>
      <c r="X185" s="150">
        <v>0.7</v>
      </c>
      <c r="Y185" s="84"/>
    </row>
    <row r="186" spans="1:25" x14ac:dyDescent="0.25">
      <c r="H186" s="4">
        <v>60</v>
      </c>
      <c r="J186" s="58"/>
      <c r="K186" s="58"/>
      <c r="L186" s="58">
        <f t="shared" si="37"/>
        <v>118.2478967370766</v>
      </c>
      <c r="M186" s="58">
        <f t="shared" si="37"/>
        <v>118.28874999453157</v>
      </c>
      <c r="N186" s="58">
        <f t="shared" si="37"/>
        <v>118.32960325198651</v>
      </c>
      <c r="O186" s="58">
        <f t="shared" si="37"/>
        <v>118.37045650944147</v>
      </c>
      <c r="P186" s="58"/>
      <c r="Q186" s="58"/>
      <c r="R186" s="58"/>
      <c r="T186" s="11">
        <f>'curve_rzeta_targetnu_add_2.5'!N178</f>
        <v>0.65044741652599947</v>
      </c>
      <c r="V186" s="83"/>
      <c r="W186" s="154">
        <f t="shared" si="38"/>
        <v>0.65</v>
      </c>
      <c r="X186" s="150">
        <v>0.7</v>
      </c>
      <c r="Y186" s="84"/>
    </row>
    <row r="187" spans="1:25" ht="15.75" thickBot="1" x14ac:dyDescent="0.3">
      <c r="H187" s="4">
        <v>70</v>
      </c>
      <c r="J187" s="67"/>
      <c r="K187" s="67"/>
      <c r="L187" s="67">
        <f t="shared" si="37"/>
        <v>138.21585480130264</v>
      </c>
      <c r="M187" s="67">
        <f t="shared" si="37"/>
        <v>138.22018772254788</v>
      </c>
      <c r="N187" s="67">
        <f t="shared" si="37"/>
        <v>138.22452064379311</v>
      </c>
      <c r="O187" s="67">
        <f t="shared" si="37"/>
        <v>138.22885356503832</v>
      </c>
      <c r="P187" s="67"/>
      <c r="Q187" s="67"/>
      <c r="R187" s="67"/>
      <c r="T187" s="11">
        <f>'curve_rzeta_targetnu_add_2.5'!N179</f>
        <v>0.64952417856792233</v>
      </c>
      <c r="V187" s="93"/>
      <c r="W187" s="193">
        <f t="shared" si="38"/>
        <v>0.65</v>
      </c>
      <c r="X187" s="194">
        <v>0.7</v>
      </c>
      <c r="Y187" s="97"/>
    </row>
    <row r="188" spans="1:25" x14ac:dyDescent="0.25">
      <c r="M188" s="114"/>
      <c r="S188" t="s">
        <v>137</v>
      </c>
    </row>
    <row r="189" spans="1:25" x14ac:dyDescent="0.25">
      <c r="M189" s="114"/>
    </row>
    <row r="190" spans="1:25" ht="15.75" thickBot="1" x14ac:dyDescent="0.3">
      <c r="A190" s="141"/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2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</row>
    <row r="191" spans="1:25" ht="15.75" thickTop="1" x14ac:dyDescent="0.25">
      <c r="M191" s="114"/>
    </row>
    <row r="192" spans="1:25" x14ac:dyDescent="0.25">
      <c r="M192" s="114"/>
    </row>
    <row r="193" spans="1:25" x14ac:dyDescent="0.25">
      <c r="A193" t="s">
        <v>73</v>
      </c>
      <c r="B193" t="s">
        <v>74</v>
      </c>
      <c r="X193">
        <v>0.437</v>
      </c>
    </row>
    <row r="194" spans="1:25" x14ac:dyDescent="0.25">
      <c r="B194" s="20" t="s">
        <v>108</v>
      </c>
      <c r="X194">
        <v>0.4</v>
      </c>
      <c r="Y194">
        <f>X194/X193</f>
        <v>0.91533180778032042</v>
      </c>
    </row>
    <row r="195" spans="1:25" x14ac:dyDescent="0.25">
      <c r="A195" s="83"/>
      <c r="B195" s="20"/>
      <c r="X195">
        <v>0.36499999999999999</v>
      </c>
      <c r="Y195">
        <f>X195/X194</f>
        <v>0.91249999999999998</v>
      </c>
    </row>
    <row r="196" spans="1:25" x14ac:dyDescent="0.25">
      <c r="A196" s="83"/>
      <c r="B196" s="135">
        <v>0.16200000000000001</v>
      </c>
      <c r="D196">
        <v>0.11924999999999999</v>
      </c>
      <c r="X196">
        <v>0.32500000000000001</v>
      </c>
      <c r="Y196">
        <f>X196/X195</f>
        <v>0.8904109589041096</v>
      </c>
    </row>
    <row r="197" spans="1:25" x14ac:dyDescent="0.25">
      <c r="A197" s="83"/>
      <c r="B197" s="85">
        <v>1</v>
      </c>
      <c r="X197">
        <v>0.28999999999999998</v>
      </c>
      <c r="Y197">
        <f>X197/X196</f>
        <v>0.89230769230769225</v>
      </c>
    </row>
    <row r="198" spans="1:25" x14ac:dyDescent="0.25">
      <c r="A198" s="83">
        <v>1</v>
      </c>
      <c r="B198" s="86">
        <f>B197+B$196</f>
        <v>1.1619999999999999</v>
      </c>
      <c r="H198" s="7"/>
      <c r="L198" s="21"/>
      <c r="M198" s="31" t="s">
        <v>38</v>
      </c>
      <c r="N198" s="32">
        <f>B198</f>
        <v>1.1619999999999999</v>
      </c>
      <c r="O198" s="32">
        <f>B199</f>
        <v>1.3239999999999998</v>
      </c>
      <c r="P198" s="32">
        <f>B200</f>
        <v>1.4859999999999998</v>
      </c>
      <c r="Q198" s="32">
        <f>B201</f>
        <v>1.6479999999999997</v>
      </c>
      <c r="R198" s="32">
        <f>B202</f>
        <v>1.8099999999999996</v>
      </c>
      <c r="S198" s="33"/>
      <c r="X198">
        <v>0.26</v>
      </c>
      <c r="Y198">
        <f>X198/X197</f>
        <v>0.89655172413793116</v>
      </c>
    </row>
    <row r="199" spans="1:25" x14ac:dyDescent="0.25">
      <c r="A199" s="83">
        <v>2</v>
      </c>
      <c r="B199" s="86">
        <f t="shared" ref="B199:B203" si="40">B198+B$196</f>
        <v>1.3239999999999998</v>
      </c>
      <c r="L199" s="34"/>
      <c r="M199" s="35">
        <v>1</v>
      </c>
      <c r="N199" s="35">
        <v>2</v>
      </c>
      <c r="O199" s="35">
        <v>3</v>
      </c>
      <c r="P199" s="35">
        <v>4</v>
      </c>
      <c r="Q199" s="35">
        <v>5</v>
      </c>
      <c r="R199" s="35">
        <v>6</v>
      </c>
      <c r="S199" s="36"/>
    </row>
    <row r="200" spans="1:25" x14ac:dyDescent="0.25">
      <c r="A200" s="83">
        <v>3</v>
      </c>
      <c r="B200" s="86">
        <f t="shared" si="40"/>
        <v>1.4859999999999998</v>
      </c>
      <c r="K200" s="2" t="s">
        <v>162</v>
      </c>
      <c r="L200" s="24"/>
      <c r="M200" s="124">
        <v>0.32500000000000001</v>
      </c>
      <c r="N200" s="11">
        <f>$M200*N198</f>
        <v>0.37764999999999999</v>
      </c>
      <c r="O200" s="11">
        <f>$M200*O198</f>
        <v>0.43029999999999996</v>
      </c>
      <c r="P200" s="11">
        <f>$M200*P198</f>
        <v>0.48294999999999993</v>
      </c>
      <c r="Q200" s="11">
        <f>$M200*Q198</f>
        <v>0.53559999999999997</v>
      </c>
      <c r="R200" s="130">
        <f>$M200*R198</f>
        <v>0.58824999999999994</v>
      </c>
      <c r="S200" s="36" t="s">
        <v>39</v>
      </c>
      <c r="T200" s="140">
        <f>R200/M222</f>
        <v>1.0000850051003061</v>
      </c>
      <c r="U200" s="171">
        <f>B196/T200</f>
        <v>0.16198623034424139</v>
      </c>
    </row>
    <row r="201" spans="1:25" x14ac:dyDescent="0.25">
      <c r="A201" s="83">
        <v>4</v>
      </c>
      <c r="B201" s="86">
        <f t="shared" si="40"/>
        <v>1.6479999999999997</v>
      </c>
      <c r="L201" s="26"/>
      <c r="M201" s="38">
        <f t="shared" ref="M201:R201" si="41">M200</f>
        <v>0.32500000000000001</v>
      </c>
      <c r="N201" s="38">
        <f t="shared" si="41"/>
        <v>0.37764999999999999</v>
      </c>
      <c r="O201" s="38">
        <f t="shared" si="41"/>
        <v>0.43029999999999996</v>
      </c>
      <c r="P201" s="38">
        <f t="shared" si="41"/>
        <v>0.48294999999999993</v>
      </c>
      <c r="Q201" s="38">
        <f t="shared" si="41"/>
        <v>0.53559999999999997</v>
      </c>
      <c r="R201" s="38">
        <f t="shared" si="41"/>
        <v>0.58824999999999994</v>
      </c>
      <c r="S201" s="39" t="s">
        <v>42</v>
      </c>
    </row>
    <row r="202" spans="1:25" x14ac:dyDescent="0.25">
      <c r="A202" s="83">
        <v>5</v>
      </c>
      <c r="B202" s="86">
        <f t="shared" si="40"/>
        <v>1.8099999999999996</v>
      </c>
    </row>
    <row r="203" spans="1:25" x14ac:dyDescent="0.25">
      <c r="A203" s="83">
        <v>6</v>
      </c>
      <c r="B203" s="86">
        <f t="shared" si="40"/>
        <v>1.9719999999999995</v>
      </c>
      <c r="D203" t="s">
        <v>72</v>
      </c>
      <c r="K203" s="18"/>
      <c r="L203" s="20" t="s">
        <v>154</v>
      </c>
    </row>
    <row r="204" spans="1:25" x14ac:dyDescent="0.25">
      <c r="A204" s="83"/>
      <c r="B204" s="86"/>
      <c r="F204" s="40" t="s">
        <v>101</v>
      </c>
      <c r="G204" s="22"/>
      <c r="H204" s="22"/>
      <c r="I204" s="22"/>
      <c r="J204" s="22"/>
      <c r="K204" s="22"/>
      <c r="L204" s="210" t="s">
        <v>119</v>
      </c>
      <c r="M204" s="211"/>
      <c r="N204" s="22"/>
      <c r="O204" s="167" t="s">
        <v>120</v>
      </c>
      <c r="P204" s="23"/>
      <c r="Q204" s="55" t="s">
        <v>45</v>
      </c>
      <c r="R204" s="23"/>
    </row>
    <row r="205" spans="1:25" x14ac:dyDescent="0.25">
      <c r="A205" s="83"/>
      <c r="B205" s="86"/>
      <c r="F205" s="183"/>
      <c r="L205" s="187" t="s">
        <v>123</v>
      </c>
      <c r="M205" s="212"/>
      <c r="O205" s="184"/>
      <c r="P205" s="25"/>
      <c r="Q205" s="186"/>
      <c r="R205" s="25"/>
    </row>
    <row r="206" spans="1:25" x14ac:dyDescent="0.25">
      <c r="A206" s="83"/>
      <c r="B206" s="20"/>
      <c r="F206" s="24"/>
      <c r="L206" s="207" t="s">
        <v>124</v>
      </c>
      <c r="M206" s="24"/>
      <c r="P206" s="25"/>
      <c r="R206" s="25"/>
    </row>
    <row r="207" spans="1:25" x14ac:dyDescent="0.25">
      <c r="A207" s="83"/>
      <c r="F207" s="41"/>
      <c r="G207" s="42"/>
      <c r="H207" s="42"/>
      <c r="I207" s="42"/>
      <c r="J207" s="42"/>
      <c r="K207" s="42"/>
      <c r="L207" s="42"/>
      <c r="M207" s="172" t="s">
        <v>163</v>
      </c>
      <c r="N207" s="42" t="s">
        <v>164</v>
      </c>
      <c r="O207" s="42" t="s">
        <v>174</v>
      </c>
      <c r="P207" s="173" t="s">
        <v>175</v>
      </c>
      <c r="Q207" s="42"/>
      <c r="R207" s="43"/>
    </row>
    <row r="208" spans="1:25" x14ac:dyDescent="0.25">
      <c r="A208" s="83"/>
      <c r="C208" s="73" t="s">
        <v>34</v>
      </c>
      <c r="F208" s="44"/>
      <c r="G208" s="4">
        <v>-5</v>
      </c>
      <c r="H208" s="4">
        <v>-4</v>
      </c>
      <c r="I208" s="4">
        <v>-3</v>
      </c>
      <c r="J208" s="4">
        <v>-2</v>
      </c>
      <c r="K208" s="4">
        <v>-1</v>
      </c>
      <c r="L208" s="4">
        <v>0</v>
      </c>
      <c r="M208" s="44">
        <v>1</v>
      </c>
      <c r="N208" s="4">
        <v>2</v>
      </c>
      <c r="O208" s="4">
        <v>3</v>
      </c>
      <c r="P208" s="45">
        <v>4</v>
      </c>
      <c r="Q208" s="4">
        <v>5</v>
      </c>
      <c r="R208" s="45">
        <v>6</v>
      </c>
      <c r="T208" s="4">
        <v>1</v>
      </c>
      <c r="U208" s="4">
        <v>6</v>
      </c>
    </row>
    <row r="209" spans="1:24" x14ac:dyDescent="0.25">
      <c r="A209" s="83"/>
      <c r="B209" s="4"/>
      <c r="C209" s="4" t="s">
        <v>10</v>
      </c>
      <c r="D209" s="87" t="s">
        <v>37</v>
      </c>
      <c r="E209" s="73"/>
      <c r="F209" s="24"/>
      <c r="M209" s="24"/>
      <c r="N209" s="46" t="s">
        <v>43</v>
      </c>
      <c r="P209" s="25"/>
      <c r="R209" s="25"/>
      <c r="T209" t="s">
        <v>129</v>
      </c>
    </row>
    <row r="210" spans="1:24" x14ac:dyDescent="0.25">
      <c r="A210" s="83"/>
      <c r="B210" s="4" t="s">
        <v>9</v>
      </c>
      <c r="C210" s="88" t="s">
        <v>36</v>
      </c>
      <c r="D210" s="89">
        <v>-0.02</v>
      </c>
      <c r="E210" s="74"/>
      <c r="F210" s="24"/>
      <c r="G210" s="47"/>
      <c r="H210" s="47"/>
      <c r="I210" s="47"/>
      <c r="J210" s="47"/>
      <c r="K210" s="47"/>
      <c r="L210" s="47"/>
      <c r="M210" s="213">
        <f>M200</f>
        <v>0.32500000000000001</v>
      </c>
      <c r="N210" s="144">
        <f>N200</f>
        <v>0.37764999999999999</v>
      </c>
      <c r="O210" s="144">
        <f t="shared" ref="O210:R210" si="42">O200</f>
        <v>0.43029999999999996</v>
      </c>
      <c r="P210" s="145">
        <f t="shared" si="42"/>
        <v>0.48294999999999993</v>
      </c>
      <c r="Q210" s="144">
        <f t="shared" si="42"/>
        <v>0.53559999999999997</v>
      </c>
      <c r="R210" s="145">
        <f t="shared" si="42"/>
        <v>0.58824999999999994</v>
      </c>
    </row>
    <row r="211" spans="1:24" x14ac:dyDescent="0.25">
      <c r="A211" s="83"/>
      <c r="B211" s="4">
        <v>1</v>
      </c>
      <c r="C211" s="6">
        <v>0.78</v>
      </c>
      <c r="D211" s="6">
        <f>C211+$D$101</f>
        <v>0.76</v>
      </c>
      <c r="E211" s="11">
        <f>M157/M211</f>
        <v>1.1076923076923075</v>
      </c>
      <c r="F211" s="49">
        <f t="shared" ref="F211:F221" si="43">M211/M212</f>
        <v>0.8125</v>
      </c>
      <c r="G211" s="13">
        <f>($W211*G$44)+$X211</f>
        <v>9.1000000000000525E-3</v>
      </c>
      <c r="H211" s="13">
        <f t="shared" ref="H211:K211" si="44">($W211*H$44)+$X211</f>
        <v>6.1750000000000055E-2</v>
      </c>
      <c r="I211" s="13">
        <f t="shared" si="44"/>
        <v>0.11440000000000003</v>
      </c>
      <c r="J211" s="13">
        <f t="shared" si="44"/>
        <v>0.16705000000000003</v>
      </c>
      <c r="K211" s="13">
        <f t="shared" si="44"/>
        <v>0.21970000000000001</v>
      </c>
      <c r="L211" s="13">
        <f>($W211*L$44)+$X211</f>
        <v>0.27234999999999998</v>
      </c>
      <c r="M211" s="214">
        <v>0.32500000000000001</v>
      </c>
      <c r="N211" s="13">
        <f>($W211*N$44)+$X211</f>
        <v>0.37764999999999993</v>
      </c>
      <c r="O211" s="13">
        <f t="shared" ref="O211:Q222" si="45">($W211*O$44)+$X211</f>
        <v>0.4302999999999999</v>
      </c>
      <c r="P211" s="76">
        <f t="shared" si="45"/>
        <v>0.48294999999999988</v>
      </c>
      <c r="Q211" s="13">
        <f t="shared" si="45"/>
        <v>0.53559999999999985</v>
      </c>
      <c r="R211" s="131">
        <f>$R$200</f>
        <v>0.58824999999999994</v>
      </c>
      <c r="S211" s="130"/>
      <c r="T211" s="11">
        <f>M211</f>
        <v>0.32500000000000001</v>
      </c>
      <c r="U211" s="11">
        <f t="shared" ref="U211:U221" si="46">R211</f>
        <v>0.58824999999999994</v>
      </c>
      <c r="V211" s="90" t="s">
        <v>44</v>
      </c>
      <c r="W211" s="91">
        <f>INDEX(LINEST(T211:U211,(T$44:U$44)^{1}),1)</f>
        <v>5.2649999999999982E-2</v>
      </c>
      <c r="X211" s="91">
        <f>INDEX(LINEST(T211:U211,(T$44:U$44)^{1}),1,2)</f>
        <v>0.27234999999999998</v>
      </c>
    </row>
    <row r="212" spans="1:24" x14ac:dyDescent="0.25">
      <c r="A212" s="83"/>
      <c r="B212" s="4">
        <v>2</v>
      </c>
      <c r="C212" s="1">
        <v>0.56999999999999995</v>
      </c>
      <c r="D212" s="1">
        <f t="shared" ref="D212:D222" si="47">C212+$D$101</f>
        <v>0.54999999999999993</v>
      </c>
      <c r="E212" s="11">
        <f t="shared" ref="E212:E222" si="48">M158/M212</f>
        <v>1.0499999999999998</v>
      </c>
      <c r="F212" s="49">
        <f t="shared" si="43"/>
        <v>0.91324200913242015</v>
      </c>
      <c r="G212" s="12">
        <f t="shared" ref="G212:N222" si="49">($W212*G$44)+$X212</f>
        <v>0.1741000000000002</v>
      </c>
      <c r="H212" s="12">
        <f t="shared" si="49"/>
        <v>0.21175000000000016</v>
      </c>
      <c r="I212" s="12">
        <f t="shared" si="49"/>
        <v>0.24940000000000012</v>
      </c>
      <c r="J212" s="12">
        <f t="shared" si="49"/>
        <v>0.28705000000000014</v>
      </c>
      <c r="K212" s="12">
        <f t="shared" si="49"/>
        <v>0.3247000000000001</v>
      </c>
      <c r="L212" s="12">
        <f t="shared" si="49"/>
        <v>0.36235000000000006</v>
      </c>
      <c r="M212" s="215">
        <v>0.4</v>
      </c>
      <c r="N212" s="12">
        <f t="shared" si="49"/>
        <v>0.43764999999999998</v>
      </c>
      <c r="O212" s="12">
        <f t="shared" si="45"/>
        <v>0.4753</v>
      </c>
      <c r="P212" s="127">
        <f t="shared" si="45"/>
        <v>0.51295000000000002</v>
      </c>
      <c r="Q212" s="12">
        <f t="shared" si="45"/>
        <v>0.55059999999999998</v>
      </c>
      <c r="R212" s="132">
        <f t="shared" ref="R212:R221" si="50">$R$200</f>
        <v>0.58824999999999994</v>
      </c>
      <c r="S212" s="130"/>
      <c r="T212" s="11">
        <f t="shared" ref="T212:T221" si="51">M212</f>
        <v>0.4</v>
      </c>
      <c r="U212" s="11">
        <f t="shared" si="46"/>
        <v>0.58824999999999994</v>
      </c>
      <c r="V212" s="90" t="s">
        <v>44</v>
      </c>
      <c r="W212" s="91">
        <f>INDEX(LINEST(T212:U212,(T$44:U$44)^{1}),1)</f>
        <v>3.7649999999999975E-2</v>
      </c>
      <c r="X212" s="91">
        <f>INDEX(LINEST(T212:U212,(T$44:U$44)^{1}),1,2)</f>
        <v>0.36235000000000006</v>
      </c>
    </row>
    <row r="213" spans="1:24" x14ac:dyDescent="0.25">
      <c r="A213" s="83"/>
      <c r="B213" s="4">
        <v>3</v>
      </c>
      <c r="C213" s="5">
        <v>0.54</v>
      </c>
      <c r="D213" s="5">
        <f t="shared" si="47"/>
        <v>0.52</v>
      </c>
      <c r="E213" s="11">
        <f t="shared" si="48"/>
        <v>1.0502283105022832</v>
      </c>
      <c r="F213" s="49">
        <f t="shared" si="43"/>
        <v>0.95842450765864329</v>
      </c>
      <c r="G213" s="14">
        <f t="shared" si="49"/>
        <v>0.25770000000000015</v>
      </c>
      <c r="H213" s="14">
        <f t="shared" si="49"/>
        <v>0.28775000000000012</v>
      </c>
      <c r="I213" s="14">
        <f t="shared" si="49"/>
        <v>0.31780000000000008</v>
      </c>
      <c r="J213" s="14">
        <f t="shared" si="49"/>
        <v>0.3478500000000001</v>
      </c>
      <c r="K213" s="14">
        <f t="shared" si="49"/>
        <v>0.37790000000000007</v>
      </c>
      <c r="L213" s="14">
        <f t="shared" si="49"/>
        <v>0.40795000000000003</v>
      </c>
      <c r="M213" s="216">
        <v>0.438</v>
      </c>
      <c r="N213" s="14">
        <f t="shared" si="49"/>
        <v>0.46804999999999997</v>
      </c>
      <c r="O213" s="14">
        <f t="shared" si="45"/>
        <v>0.49809999999999999</v>
      </c>
      <c r="P213" s="128">
        <f t="shared" si="45"/>
        <v>0.5281499999999999</v>
      </c>
      <c r="Q213" s="14">
        <f t="shared" si="45"/>
        <v>0.55819999999999992</v>
      </c>
      <c r="R213" s="133">
        <f t="shared" si="50"/>
        <v>0.58824999999999994</v>
      </c>
      <c r="S213" s="130"/>
      <c r="T213" s="11">
        <f t="shared" si="51"/>
        <v>0.438</v>
      </c>
      <c r="U213" s="11">
        <f t="shared" si="46"/>
        <v>0.58824999999999994</v>
      </c>
      <c r="V213" s="90" t="s">
        <v>44</v>
      </c>
      <c r="W213" s="91">
        <f>INDEX(LINEST(T213:U213,(T$44:U$44)^{1}),1)</f>
        <v>3.004999999999998E-2</v>
      </c>
      <c r="X213" s="91">
        <f>INDEX(LINEST(T213:U213,(T$44:U$44)^{1}),1,2)</f>
        <v>0.40795000000000003</v>
      </c>
    </row>
    <row r="214" spans="1:24" x14ac:dyDescent="0.25">
      <c r="A214" s="83"/>
      <c r="B214" s="4">
        <v>4</v>
      </c>
      <c r="C214" s="1">
        <v>0.53</v>
      </c>
      <c r="D214" s="1">
        <f t="shared" si="47"/>
        <v>0.51</v>
      </c>
      <c r="E214" s="11">
        <f t="shared" si="48"/>
        <v>1.0853391684901532</v>
      </c>
      <c r="F214" s="49">
        <f t="shared" si="43"/>
        <v>0.95208333333333339</v>
      </c>
      <c r="G214" s="12">
        <f t="shared" si="49"/>
        <v>0.29950000000000015</v>
      </c>
      <c r="H214" s="12">
        <f t="shared" si="49"/>
        <v>0.32575000000000015</v>
      </c>
      <c r="I214" s="12">
        <f t="shared" si="49"/>
        <v>0.35200000000000015</v>
      </c>
      <c r="J214" s="12">
        <f t="shared" si="49"/>
        <v>0.37825000000000009</v>
      </c>
      <c r="K214" s="12">
        <f t="shared" si="49"/>
        <v>0.40450000000000008</v>
      </c>
      <c r="L214" s="12">
        <f t="shared" si="49"/>
        <v>0.43075000000000008</v>
      </c>
      <c r="M214" s="215">
        <v>0.45700000000000002</v>
      </c>
      <c r="N214" s="12">
        <f t="shared" si="49"/>
        <v>0.48325000000000007</v>
      </c>
      <c r="O214" s="12">
        <f t="shared" si="45"/>
        <v>0.50950000000000006</v>
      </c>
      <c r="P214" s="127">
        <f t="shared" si="45"/>
        <v>0.53574999999999995</v>
      </c>
      <c r="Q214" s="12">
        <f t="shared" si="45"/>
        <v>0.56200000000000006</v>
      </c>
      <c r="R214" s="132">
        <f t="shared" si="50"/>
        <v>0.58824999999999994</v>
      </c>
      <c r="S214" s="130"/>
      <c r="T214" s="11">
        <f t="shared" si="51"/>
        <v>0.45700000000000002</v>
      </c>
      <c r="U214" s="11">
        <f t="shared" si="46"/>
        <v>0.58824999999999994</v>
      </c>
      <c r="V214" s="90" t="s">
        <v>44</v>
      </c>
      <c r="W214" s="91">
        <f>INDEX(LINEST(T214:U214,(T$44:U$44)^{1}),1)</f>
        <v>2.6249999999999982E-2</v>
      </c>
      <c r="X214" s="91">
        <f>INDEX(LINEST(T214:U214,(T$44:U$44)^{1}),1,2)</f>
        <v>0.43075000000000008</v>
      </c>
    </row>
    <row r="215" spans="1:24" x14ac:dyDescent="0.25">
      <c r="A215" s="83"/>
      <c r="B215" s="4">
        <v>5</v>
      </c>
      <c r="C215" s="1">
        <v>0.56000000000000005</v>
      </c>
      <c r="D215" s="1">
        <f t="shared" si="47"/>
        <v>0.54</v>
      </c>
      <c r="E215" s="11">
        <f t="shared" si="48"/>
        <v>1.1041666666666667</v>
      </c>
      <c r="F215" s="49">
        <f t="shared" si="43"/>
        <v>0.90737240075614356</v>
      </c>
      <c r="G215" s="12">
        <f t="shared" si="49"/>
        <v>0.35010000000000013</v>
      </c>
      <c r="H215" s="12">
        <f t="shared" si="49"/>
        <v>0.37175000000000014</v>
      </c>
      <c r="I215" s="12">
        <f t="shared" si="49"/>
        <v>0.39340000000000008</v>
      </c>
      <c r="J215" s="12">
        <f t="shared" si="49"/>
        <v>0.41505000000000009</v>
      </c>
      <c r="K215" s="12">
        <f t="shared" si="49"/>
        <v>0.43670000000000003</v>
      </c>
      <c r="L215" s="12">
        <f t="shared" si="49"/>
        <v>0.45835000000000004</v>
      </c>
      <c r="M215" s="215">
        <v>0.48</v>
      </c>
      <c r="N215" s="12">
        <f t="shared" si="49"/>
        <v>0.50165000000000004</v>
      </c>
      <c r="O215" s="12">
        <f t="shared" si="45"/>
        <v>0.52329999999999999</v>
      </c>
      <c r="P215" s="127">
        <f t="shared" si="45"/>
        <v>0.54494999999999993</v>
      </c>
      <c r="Q215" s="12">
        <f t="shared" si="45"/>
        <v>0.56659999999999999</v>
      </c>
      <c r="R215" s="132">
        <f t="shared" si="50"/>
        <v>0.58824999999999994</v>
      </c>
      <c r="S215" s="130"/>
      <c r="T215" s="11">
        <f t="shared" si="51"/>
        <v>0.48</v>
      </c>
      <c r="U215" s="11">
        <f t="shared" si="46"/>
        <v>0.58824999999999994</v>
      </c>
      <c r="V215" s="90" t="s">
        <v>44</v>
      </c>
      <c r="W215" s="91">
        <f>INDEX(LINEST(T215:U215,(T$44:U$44)^{1}),1)</f>
        <v>2.1649999999999982E-2</v>
      </c>
      <c r="X215" s="91">
        <f>INDEX(LINEST(T215:U215,(T$44:U$44)^{1}),1,2)</f>
        <v>0.45835000000000004</v>
      </c>
    </row>
    <row r="216" spans="1:24" x14ac:dyDescent="0.25">
      <c r="A216" s="83"/>
      <c r="B216" s="4">
        <v>10</v>
      </c>
      <c r="C216" s="5">
        <v>0.64</v>
      </c>
      <c r="D216" s="5">
        <f t="shared" si="47"/>
        <v>0.62</v>
      </c>
      <c r="E216" s="11">
        <f t="shared" si="48"/>
        <v>1.0945179584120981</v>
      </c>
      <c r="F216" s="49">
        <f t="shared" si="43"/>
        <v>0.94464285714285712</v>
      </c>
      <c r="G216" s="14">
        <f t="shared" si="49"/>
        <v>0.45790000000000008</v>
      </c>
      <c r="H216" s="14">
        <f t="shared" si="49"/>
        <v>0.46975000000000006</v>
      </c>
      <c r="I216" s="14">
        <f t="shared" si="49"/>
        <v>0.48160000000000003</v>
      </c>
      <c r="J216" s="14">
        <f t="shared" si="49"/>
        <v>0.49345000000000006</v>
      </c>
      <c r="K216" s="14">
        <f>($W216*K$44)+$X216</f>
        <v>0.50529999999999997</v>
      </c>
      <c r="L216" s="14">
        <f t="shared" si="49"/>
        <v>0.51715</v>
      </c>
      <c r="M216" s="216">
        <v>0.52900000000000003</v>
      </c>
      <c r="N216" s="14">
        <f>($W216*N$44)+$X216</f>
        <v>0.54084999999999994</v>
      </c>
      <c r="O216" s="14">
        <f t="shared" si="45"/>
        <v>0.55269999999999997</v>
      </c>
      <c r="P216" s="128">
        <f t="shared" si="45"/>
        <v>0.56454999999999989</v>
      </c>
      <c r="Q216" s="14">
        <f t="shared" si="45"/>
        <v>0.57639999999999991</v>
      </c>
      <c r="R216" s="133">
        <f t="shared" si="50"/>
        <v>0.58824999999999994</v>
      </c>
      <c r="S216" s="130"/>
      <c r="T216" s="11">
        <f t="shared" si="51"/>
        <v>0.52900000000000003</v>
      </c>
      <c r="U216" s="11">
        <f t="shared" si="46"/>
        <v>0.58824999999999994</v>
      </c>
      <c r="V216" s="90" t="s">
        <v>44</v>
      </c>
      <c r="W216" s="91">
        <f>INDEX(LINEST(T216:U216,(T$44:U$44)^{1}),1)</f>
        <v>1.1849999999999984E-2</v>
      </c>
      <c r="X216" s="91">
        <f>INDEX(LINEST(T216:U216,(T$44:U$44)^{1}),1,2)</f>
        <v>0.51715</v>
      </c>
    </row>
    <row r="217" spans="1:24" x14ac:dyDescent="0.25">
      <c r="A217" s="83"/>
      <c r="B217" s="4">
        <v>20</v>
      </c>
      <c r="C217" s="1">
        <v>0.66</v>
      </c>
      <c r="D217" s="1">
        <f t="shared" si="47"/>
        <v>0.64</v>
      </c>
      <c r="E217" s="11">
        <f t="shared" si="48"/>
        <v>1.0892857142857142</v>
      </c>
      <c r="F217" s="49">
        <f t="shared" si="43"/>
        <v>0.97731239092495659</v>
      </c>
      <c r="G217" s="12">
        <f t="shared" si="49"/>
        <v>0.52610000000000023</v>
      </c>
      <c r="H217" s="12">
        <f t="shared" si="49"/>
        <v>0.53175000000000017</v>
      </c>
      <c r="I217" s="12">
        <f t="shared" si="49"/>
        <v>0.53740000000000021</v>
      </c>
      <c r="J217" s="12">
        <f t="shared" si="49"/>
        <v>0.54305000000000014</v>
      </c>
      <c r="K217" s="12">
        <f t="shared" si="49"/>
        <v>0.54870000000000019</v>
      </c>
      <c r="L217" s="12">
        <f t="shared" si="49"/>
        <v>0.55435000000000012</v>
      </c>
      <c r="M217" s="215">
        <v>0.56000000000000005</v>
      </c>
      <c r="N217" s="12">
        <f t="shared" si="49"/>
        <v>0.5656500000000001</v>
      </c>
      <c r="O217" s="12">
        <f t="shared" si="45"/>
        <v>0.57130000000000003</v>
      </c>
      <c r="P217" s="127">
        <f t="shared" si="45"/>
        <v>0.57695000000000007</v>
      </c>
      <c r="Q217" s="12">
        <f t="shared" si="45"/>
        <v>0.58260000000000001</v>
      </c>
      <c r="R217" s="132">
        <f t="shared" si="50"/>
        <v>0.58824999999999994</v>
      </c>
      <c r="S217" s="130"/>
      <c r="T217" s="11">
        <f t="shared" si="51"/>
        <v>0.56000000000000005</v>
      </c>
      <c r="U217" s="11">
        <f t="shared" si="46"/>
        <v>0.58824999999999994</v>
      </c>
      <c r="V217" s="90" t="s">
        <v>44</v>
      </c>
      <c r="W217" s="91">
        <f>INDEX(LINEST(T217:U217,(T$44:U$44)^{1}),1)</f>
        <v>5.6499999999999745E-3</v>
      </c>
      <c r="X217" s="91">
        <f>INDEX(LINEST(T217:U217,(T$44:U$44)^{1}),1,2)</f>
        <v>0.55435000000000012</v>
      </c>
    </row>
    <row r="218" spans="1:24" x14ac:dyDescent="0.25">
      <c r="A218" s="83"/>
      <c r="B218" s="4">
        <v>30</v>
      </c>
      <c r="C218" s="1">
        <v>0.68</v>
      </c>
      <c r="D218" s="1">
        <f t="shared" si="47"/>
        <v>0.66</v>
      </c>
      <c r="E218" s="11">
        <f t="shared" si="48"/>
        <v>1.087260034904014</v>
      </c>
      <c r="F218" s="49">
        <f t="shared" si="43"/>
        <v>0.98793103448275865</v>
      </c>
      <c r="G218" s="12">
        <f t="shared" si="49"/>
        <v>0.55469999999999997</v>
      </c>
      <c r="H218" s="12">
        <f t="shared" si="49"/>
        <v>0.55774999999999997</v>
      </c>
      <c r="I218" s="12">
        <f t="shared" si="49"/>
        <v>0.56079999999999997</v>
      </c>
      <c r="J218" s="12">
        <f t="shared" si="49"/>
        <v>0.56384999999999996</v>
      </c>
      <c r="K218" s="12">
        <f t="shared" si="49"/>
        <v>0.56689999999999996</v>
      </c>
      <c r="L218" s="12">
        <f t="shared" si="49"/>
        <v>0.56994999999999996</v>
      </c>
      <c r="M218" s="215">
        <v>0.57299999999999995</v>
      </c>
      <c r="N218" s="12">
        <f t="shared" si="49"/>
        <v>0.57604999999999995</v>
      </c>
      <c r="O218" s="12">
        <f t="shared" si="45"/>
        <v>0.57909999999999995</v>
      </c>
      <c r="P218" s="127">
        <f t="shared" si="45"/>
        <v>0.58214999999999995</v>
      </c>
      <c r="Q218" s="12">
        <f t="shared" si="45"/>
        <v>0.58519999999999994</v>
      </c>
      <c r="R218" s="132">
        <f t="shared" si="50"/>
        <v>0.58824999999999994</v>
      </c>
      <c r="S218" s="130"/>
      <c r="T218" s="11">
        <f t="shared" si="51"/>
        <v>0.57299999999999995</v>
      </c>
      <c r="U218" s="11">
        <f t="shared" si="46"/>
        <v>0.58824999999999994</v>
      </c>
      <c r="V218" s="90" t="s">
        <v>44</v>
      </c>
      <c r="W218" s="91">
        <f>INDEX(LINEST(T218:U218,(T$44:U$44)^{1}),1)</f>
        <v>3.0499999999999967E-3</v>
      </c>
      <c r="X218" s="91">
        <f>INDEX(LINEST(T218:U218,(T$44:U$44)^{1}),1,2)</f>
        <v>0.56994999999999996</v>
      </c>
    </row>
    <row r="219" spans="1:24" x14ac:dyDescent="0.25">
      <c r="A219" s="83"/>
      <c r="B219" s="4">
        <v>40</v>
      </c>
      <c r="C219" s="1">
        <v>0.69</v>
      </c>
      <c r="D219" s="1">
        <f t="shared" si="47"/>
        <v>0.66999999999999993</v>
      </c>
      <c r="E219" s="11">
        <f t="shared" si="48"/>
        <v>1.0862068965517242</v>
      </c>
      <c r="F219" s="49">
        <f t="shared" si="43"/>
        <v>0.99315068493150682</v>
      </c>
      <c r="G219" s="12">
        <f t="shared" si="49"/>
        <v>0.57010000000000005</v>
      </c>
      <c r="H219" s="12">
        <f t="shared" si="49"/>
        <v>0.57175000000000009</v>
      </c>
      <c r="I219" s="12">
        <f t="shared" si="49"/>
        <v>0.57340000000000002</v>
      </c>
      <c r="J219" s="12">
        <f t="shared" si="49"/>
        <v>0.57505000000000006</v>
      </c>
      <c r="K219" s="12">
        <f t="shared" si="49"/>
        <v>0.57669999999999999</v>
      </c>
      <c r="L219" s="12">
        <f t="shared" si="49"/>
        <v>0.57835000000000003</v>
      </c>
      <c r="M219" s="215">
        <v>0.57999999999999996</v>
      </c>
      <c r="N219" s="12">
        <f t="shared" si="49"/>
        <v>0.58165</v>
      </c>
      <c r="O219" s="12">
        <f t="shared" si="45"/>
        <v>0.58330000000000004</v>
      </c>
      <c r="P219" s="127">
        <f t="shared" si="45"/>
        <v>0.58494999999999997</v>
      </c>
      <c r="Q219" s="12">
        <f t="shared" si="45"/>
        <v>0.58660000000000001</v>
      </c>
      <c r="R219" s="132">
        <f t="shared" si="50"/>
        <v>0.58824999999999994</v>
      </c>
      <c r="S219" s="130"/>
      <c r="T219" s="11">
        <f t="shared" si="51"/>
        <v>0.57999999999999996</v>
      </c>
      <c r="U219" s="11">
        <f t="shared" si="46"/>
        <v>0.58824999999999994</v>
      </c>
      <c r="V219" s="90" t="s">
        <v>44</v>
      </c>
      <c r="W219" s="91">
        <f>INDEX(LINEST(T219:U219,(T$44:U$44)^{1}),1)</f>
        <v>1.6499999999999952E-3</v>
      </c>
      <c r="X219" s="91">
        <f>INDEX(LINEST(T219:U219,(T$44:U$44)^{1}),1,2)</f>
        <v>0.57835000000000003</v>
      </c>
    </row>
    <row r="220" spans="1:24" x14ac:dyDescent="0.25">
      <c r="A220" s="83"/>
      <c r="B220" s="4">
        <v>50</v>
      </c>
      <c r="C220" s="1">
        <v>0.71</v>
      </c>
      <c r="D220" s="1">
        <f t="shared" si="47"/>
        <v>0.69</v>
      </c>
      <c r="E220" s="11">
        <f t="shared" si="48"/>
        <v>1.0856164383561644</v>
      </c>
      <c r="F220" s="49">
        <f t="shared" si="43"/>
        <v>0.9948892674616695</v>
      </c>
      <c r="G220" s="12">
        <f t="shared" si="49"/>
        <v>0.57890000000000008</v>
      </c>
      <c r="H220" s="12">
        <f t="shared" si="49"/>
        <v>0.5797500000000001</v>
      </c>
      <c r="I220" s="12">
        <f t="shared" si="49"/>
        <v>0.58060000000000012</v>
      </c>
      <c r="J220" s="12">
        <f t="shared" si="49"/>
        <v>0.58145000000000002</v>
      </c>
      <c r="K220" s="12">
        <f t="shared" si="49"/>
        <v>0.58230000000000004</v>
      </c>
      <c r="L220" s="12">
        <f t="shared" si="49"/>
        <v>0.58315000000000006</v>
      </c>
      <c r="M220" s="215">
        <v>0.58399999999999996</v>
      </c>
      <c r="N220" s="12">
        <f t="shared" si="49"/>
        <v>0.58485000000000009</v>
      </c>
      <c r="O220" s="12">
        <f t="shared" si="45"/>
        <v>0.5857</v>
      </c>
      <c r="P220" s="127">
        <f t="shared" si="45"/>
        <v>0.58655000000000002</v>
      </c>
      <c r="Q220" s="12">
        <f t="shared" si="45"/>
        <v>0.58740000000000003</v>
      </c>
      <c r="R220" s="132">
        <f t="shared" si="50"/>
        <v>0.58824999999999994</v>
      </c>
      <c r="S220" s="130"/>
      <c r="T220" s="11">
        <f t="shared" si="51"/>
        <v>0.58399999999999996</v>
      </c>
      <c r="U220" s="11">
        <f t="shared" si="46"/>
        <v>0.58824999999999994</v>
      </c>
      <c r="V220" s="90" t="s">
        <v>44</v>
      </c>
      <c r="W220" s="91">
        <f>INDEX(LINEST(T220:U220,(T$44:U$44)^{1}),1)</f>
        <v>8.4999999999999529E-4</v>
      </c>
      <c r="X220" s="91">
        <f>INDEX(LINEST(T220:U220,(T$44:U$44)^{1}),1,2)</f>
        <v>0.58315000000000006</v>
      </c>
    </row>
    <row r="221" spans="1:24" x14ac:dyDescent="0.25">
      <c r="A221" s="83"/>
      <c r="B221" s="4">
        <v>60</v>
      </c>
      <c r="C221" s="1">
        <v>0.72</v>
      </c>
      <c r="D221" s="1">
        <f t="shared" si="47"/>
        <v>0.7</v>
      </c>
      <c r="E221" s="11">
        <f t="shared" si="48"/>
        <v>1.0851788756388416</v>
      </c>
      <c r="F221" s="49">
        <f t="shared" si="43"/>
        <v>0.99795987759265559</v>
      </c>
      <c r="G221" s="12">
        <f t="shared" si="49"/>
        <v>0.58550000000000002</v>
      </c>
      <c r="H221" s="12">
        <f t="shared" si="49"/>
        <v>0.58574999999999999</v>
      </c>
      <c r="I221" s="12">
        <f t="shared" si="49"/>
        <v>0.58599999999999997</v>
      </c>
      <c r="J221" s="12">
        <f t="shared" si="49"/>
        <v>0.58625000000000005</v>
      </c>
      <c r="K221" s="12">
        <f t="shared" si="49"/>
        <v>0.58650000000000002</v>
      </c>
      <c r="L221" s="12">
        <f t="shared" si="49"/>
        <v>0.58674999999999999</v>
      </c>
      <c r="M221" s="215">
        <v>0.58699999999999997</v>
      </c>
      <c r="N221" s="12">
        <f t="shared" si="49"/>
        <v>0.58724999999999994</v>
      </c>
      <c r="O221" s="12">
        <f t="shared" si="45"/>
        <v>0.58750000000000002</v>
      </c>
      <c r="P221" s="127">
        <f t="shared" si="45"/>
        <v>0.58774999999999999</v>
      </c>
      <c r="Q221" s="12">
        <f t="shared" si="45"/>
        <v>0.58799999999999997</v>
      </c>
      <c r="R221" s="132">
        <f t="shared" si="50"/>
        <v>0.58824999999999994</v>
      </c>
      <c r="S221" s="130"/>
      <c r="T221" s="11">
        <f t="shared" si="51"/>
        <v>0.58699999999999997</v>
      </c>
      <c r="U221" s="11">
        <f t="shared" si="46"/>
        <v>0.58824999999999994</v>
      </c>
      <c r="V221" s="90" t="s">
        <v>44</v>
      </c>
      <c r="W221" s="91">
        <f>INDEX(LINEST(T221:U221,(T$44:U$44)^{1}),1)</f>
        <v>2.4999999999999458E-4</v>
      </c>
      <c r="X221" s="91">
        <f>INDEX(LINEST(T221:U221,(T$44:U$44)^{1}),1,2)</f>
        <v>0.58674999999999999</v>
      </c>
    </row>
    <row r="222" spans="1:24" x14ac:dyDescent="0.25">
      <c r="A222" s="83"/>
      <c r="B222" s="4">
        <v>70</v>
      </c>
      <c r="C222" s="5">
        <v>0.72</v>
      </c>
      <c r="D222" s="5">
        <f t="shared" si="47"/>
        <v>0.7</v>
      </c>
      <c r="E222" s="11">
        <f t="shared" si="48"/>
        <v>1.0846650799047943</v>
      </c>
      <c r="F222" s="52">
        <f>M222/M222</f>
        <v>1</v>
      </c>
      <c r="G222" s="53">
        <f t="shared" si="49"/>
        <v>0.58814</v>
      </c>
      <c r="H222" s="53">
        <f t="shared" si="49"/>
        <v>0.58814999999999995</v>
      </c>
      <c r="I222" s="53">
        <f t="shared" si="49"/>
        <v>0.58816000000000002</v>
      </c>
      <c r="J222" s="53">
        <f t="shared" si="49"/>
        <v>0.58816999999999997</v>
      </c>
      <c r="K222" s="53">
        <f t="shared" si="49"/>
        <v>0.58818000000000004</v>
      </c>
      <c r="L222" s="53">
        <f t="shared" si="49"/>
        <v>0.58818999999999999</v>
      </c>
      <c r="M222" s="217">
        <v>0.58819999999999995</v>
      </c>
      <c r="N222" s="53">
        <f>($W222*N$44)+$X222</f>
        <v>0.58821000000000001</v>
      </c>
      <c r="O222" s="53">
        <f t="shared" si="45"/>
        <v>0.58821999999999997</v>
      </c>
      <c r="P222" s="129">
        <f t="shared" si="45"/>
        <v>0.58823000000000003</v>
      </c>
      <c r="Q222" s="53">
        <f t="shared" si="45"/>
        <v>0.58823999999999999</v>
      </c>
      <c r="R222" s="134">
        <f>$R$200</f>
        <v>0.58824999999999994</v>
      </c>
      <c r="T222" s="11">
        <f>M222</f>
        <v>0.58819999999999995</v>
      </c>
      <c r="U222" s="11">
        <f>R222</f>
        <v>0.58824999999999994</v>
      </c>
      <c r="V222" s="90" t="s">
        <v>44</v>
      </c>
      <c r="W222" s="91">
        <f>INDEX(LINEST(T222:U222,(T$44:U$44)^{1}),1)</f>
        <v>9.999999999998898E-6</v>
      </c>
      <c r="X222" s="91">
        <f>INDEX(LINEST(T222:U222,(T$44:U$44)^{1}),1,2)</f>
        <v>0.58818999999999999</v>
      </c>
    </row>
    <row r="223" spans="1:24" x14ac:dyDescent="0.25">
      <c r="A223" s="83"/>
      <c r="M223">
        <f>M222/M211</f>
        <v>1.8098461538461537</v>
      </c>
      <c r="T223" s="1"/>
      <c r="U223" s="1"/>
      <c r="V223" s="90"/>
    </row>
    <row r="224" spans="1:24" ht="15.75" x14ac:dyDescent="0.25">
      <c r="D224" s="20" t="s">
        <v>78</v>
      </c>
      <c r="M224" s="170">
        <f>M222/M217</f>
        <v>1.0503571428571428</v>
      </c>
      <c r="T224" s="189" t="s">
        <v>131</v>
      </c>
      <c r="U224" s="1"/>
      <c r="V224" s="90"/>
    </row>
    <row r="225" spans="2:25" ht="15.75" x14ac:dyDescent="0.25">
      <c r="D225" s="20" t="s">
        <v>99</v>
      </c>
      <c r="S225" s="189"/>
      <c r="T225" s="189" t="s">
        <v>132</v>
      </c>
      <c r="U225" s="1"/>
      <c r="V225" s="90"/>
    </row>
    <row r="226" spans="2:25" ht="16.5" thickBot="1" x14ac:dyDescent="0.3">
      <c r="D226" s="20" t="s">
        <v>100</v>
      </c>
      <c r="S226" s="189"/>
      <c r="T226" s="1"/>
    </row>
    <row r="227" spans="2:25" x14ac:dyDescent="0.25">
      <c r="D227" s="174" t="s">
        <v>126</v>
      </c>
      <c r="T227" s="1"/>
      <c r="V227" s="79" t="s">
        <v>136</v>
      </c>
      <c r="W227" s="81"/>
      <c r="X227" s="81"/>
      <c r="Y227" s="82"/>
    </row>
    <row r="228" spans="2:25" x14ac:dyDescent="0.25">
      <c r="T228" s="1"/>
      <c r="U228" s="7"/>
      <c r="V228" s="83"/>
      <c r="X228" s="1" t="s">
        <v>113</v>
      </c>
      <c r="Y228" s="84"/>
    </row>
    <row r="229" spans="2:25" x14ac:dyDescent="0.25">
      <c r="B229" s="188" t="s">
        <v>130</v>
      </c>
      <c r="H229" s="4" t="s">
        <v>9</v>
      </c>
      <c r="I229" s="190" t="s">
        <v>134</v>
      </c>
      <c r="J229" s="190"/>
      <c r="K229" s="190"/>
      <c r="L229" s="42"/>
      <c r="M229" s="42" t="s">
        <v>163</v>
      </c>
      <c r="N229" s="204" t="s">
        <v>164</v>
      </c>
      <c r="O229" s="42" t="s">
        <v>174</v>
      </c>
      <c r="P229" s="42" t="s">
        <v>175</v>
      </c>
      <c r="T229" s="122" t="s">
        <v>133</v>
      </c>
      <c r="V229" s="195" t="s">
        <v>172</v>
      </c>
      <c r="W229">
        <f>0.6/0.7</f>
        <v>0.85714285714285721</v>
      </c>
      <c r="X229" s="1" t="s">
        <v>103</v>
      </c>
      <c r="Y229" s="191" t="s">
        <v>112</v>
      </c>
    </row>
    <row r="230" spans="2:25" x14ac:dyDescent="0.25">
      <c r="B230" s="174" t="s">
        <v>135</v>
      </c>
      <c r="H230" s="4">
        <v>1</v>
      </c>
      <c r="J230" s="63"/>
      <c r="K230" s="63"/>
      <c r="L230" s="63"/>
      <c r="M230" s="63">
        <f>(M211*$D$122*SQRT(4*$D$124*$B$128/32.2)/12)*$H230/2</f>
        <v>1.0058567176405746</v>
      </c>
      <c r="N230" s="63">
        <f t="shared" ref="N230:P241" si="52">(N211*$D$122*SQRT(4*$D$124*$B$128/32.2)/12)*$H230/2</f>
        <v>1.1688055058983473</v>
      </c>
      <c r="O230" s="63">
        <f t="shared" si="52"/>
        <v>1.3317542941561205</v>
      </c>
      <c r="P230" s="63">
        <f t="shared" si="52"/>
        <v>1.4947030824138932</v>
      </c>
      <c r="Q230" s="63"/>
      <c r="R230" s="63"/>
      <c r="T230" s="205">
        <f>'curve_rzeta_targetnu_add_2.5'!N222</f>
        <v>1.1327423016478957</v>
      </c>
      <c r="V230" s="83"/>
      <c r="W230" s="153">
        <f>X230*$W$229</f>
        <v>1.0285714285714287</v>
      </c>
      <c r="X230" s="149">
        <v>1.2</v>
      </c>
      <c r="Y230" s="192">
        <f>T230/W230</f>
        <v>1.1012772377132318</v>
      </c>
    </row>
    <row r="231" spans="2:25" x14ac:dyDescent="0.25">
      <c r="B231" s="174" t="s">
        <v>143</v>
      </c>
      <c r="H231" s="4">
        <v>2</v>
      </c>
      <c r="J231" s="58"/>
      <c r="K231" s="58"/>
      <c r="L231" s="58"/>
      <c r="M231" s="58">
        <f t="shared" ref="M231:O241" si="53">(M212*$D$122*SQRT(4*$D$124*$B$128/32.2)/12)*$H231/2</f>
        <v>2.4759549972691066</v>
      </c>
      <c r="N231" s="58">
        <f t="shared" si="53"/>
        <v>2.7090042613870611</v>
      </c>
      <c r="O231" s="58">
        <f t="shared" si="53"/>
        <v>2.9420535255050155</v>
      </c>
      <c r="P231" s="58">
        <f t="shared" si="52"/>
        <v>3.1751027896229704</v>
      </c>
      <c r="Q231" s="58"/>
      <c r="R231" s="58"/>
      <c r="T231" s="11">
        <f>'curve_rzeta_targetnu_add_2.5'!N223</f>
        <v>0.80386552709665182</v>
      </c>
      <c r="U231" s="115"/>
      <c r="V231" s="83"/>
      <c r="W231" s="154">
        <f t="shared" ref="W231:W241" si="54">X231*$W$229</f>
        <v>0.72857142857142865</v>
      </c>
      <c r="X231" s="150">
        <v>0.85</v>
      </c>
      <c r="Y231" s="192">
        <f t="shared" ref="Y231:Y235" si="55">T231/W231</f>
        <v>1.1033448411130513</v>
      </c>
    </row>
    <row r="232" spans="2:25" x14ac:dyDescent="0.25">
      <c r="H232" s="4">
        <v>3</v>
      </c>
      <c r="J232" s="67"/>
      <c r="K232" s="67"/>
      <c r="L232" s="67"/>
      <c r="M232" s="67">
        <f t="shared" si="53"/>
        <v>4.0667560830145071</v>
      </c>
      <c r="N232" s="67">
        <f t="shared" si="53"/>
        <v>4.3457652617692695</v>
      </c>
      <c r="O232" s="67">
        <f t="shared" si="53"/>
        <v>4.6247744405240327</v>
      </c>
      <c r="P232" s="67">
        <f t="shared" si="52"/>
        <v>4.9037836192787934</v>
      </c>
      <c r="Q232" s="67"/>
      <c r="R232" s="67"/>
      <c r="T232" s="205">
        <f>'curve_rzeta_targetnu_add_2.5'!N224</f>
        <v>0.70723962775449734</v>
      </c>
      <c r="U232" s="115"/>
      <c r="V232" s="83"/>
      <c r="W232" s="157">
        <f t="shared" si="54"/>
        <v>0.6428571428571429</v>
      </c>
      <c r="X232" s="158">
        <v>0.75</v>
      </c>
      <c r="Y232" s="192">
        <f t="shared" si="55"/>
        <v>1.1001505320625513</v>
      </c>
    </row>
    <row r="233" spans="2:25" x14ac:dyDescent="0.25">
      <c r="H233" s="4">
        <v>4</v>
      </c>
      <c r="J233" s="58"/>
      <c r="K233" s="58"/>
      <c r="L233" s="58"/>
      <c r="M233" s="58">
        <f t="shared" si="53"/>
        <v>5.657557168759908</v>
      </c>
      <c r="N233" s="58">
        <f t="shared" si="53"/>
        <v>5.9825262621514801</v>
      </c>
      <c r="O233" s="58">
        <f t="shared" si="53"/>
        <v>6.3074953555430495</v>
      </c>
      <c r="P233" s="58">
        <f t="shared" si="52"/>
        <v>6.632464448934619</v>
      </c>
      <c r="Q233" s="58"/>
      <c r="R233" s="58"/>
      <c r="T233" s="11">
        <f>'curve_rzeta_targetnu_add_2.5'!N225</f>
        <v>0.65892667808342031</v>
      </c>
      <c r="U233" s="115"/>
      <c r="V233" s="83"/>
      <c r="W233" s="154">
        <f t="shared" si="54"/>
        <v>0.61714285714285722</v>
      </c>
      <c r="X233" s="150">
        <v>0.72</v>
      </c>
      <c r="Y233" s="192">
        <f t="shared" si="55"/>
        <v>1.0677052654129495</v>
      </c>
    </row>
    <row r="234" spans="2:25" x14ac:dyDescent="0.25">
      <c r="H234" s="4">
        <v>5</v>
      </c>
      <c r="J234" s="58"/>
      <c r="K234" s="58"/>
      <c r="L234" s="58"/>
      <c r="M234" s="58">
        <f t="shared" si="53"/>
        <v>7.4278649918073194</v>
      </c>
      <c r="N234" s="58">
        <f t="shared" si="53"/>
        <v>7.7628926523752959</v>
      </c>
      <c r="O234" s="58">
        <f t="shared" si="53"/>
        <v>8.0979203129432715</v>
      </c>
      <c r="P234" s="58">
        <f t="shared" si="52"/>
        <v>8.4329479735112471</v>
      </c>
      <c r="Q234" s="58"/>
      <c r="R234" s="58"/>
      <c r="T234" s="11">
        <f>'curve_rzeta_targetnu_add_2.5'!N226</f>
        <v>0.64153863360609331</v>
      </c>
      <c r="U234" s="115"/>
      <c r="V234" s="83"/>
      <c r="W234" s="154">
        <f t="shared" si="54"/>
        <v>0.60857142857142854</v>
      </c>
      <c r="X234" s="150">
        <v>0.71</v>
      </c>
      <c r="Y234" s="192">
        <f t="shared" si="55"/>
        <v>1.0541714636719843</v>
      </c>
    </row>
    <row r="235" spans="2:25" x14ac:dyDescent="0.25">
      <c r="H235" s="4">
        <v>10</v>
      </c>
      <c r="J235" s="67"/>
      <c r="K235" s="67"/>
      <c r="L235" s="67"/>
      <c r="M235" s="67">
        <f t="shared" si="53"/>
        <v>16.372252419441967</v>
      </c>
      <c r="N235" s="67">
        <f t="shared" si="53"/>
        <v>16.739003253412452</v>
      </c>
      <c r="O235" s="67">
        <f t="shared" si="53"/>
        <v>17.105754087382941</v>
      </c>
      <c r="P235" s="67">
        <f t="shared" si="52"/>
        <v>17.472504921353426</v>
      </c>
      <c r="Q235" s="67"/>
      <c r="R235" s="67"/>
      <c r="T235" s="205">
        <f>'curve_rzeta_targetnu_add_2.5'!N227</f>
        <v>0.60976247361488434</v>
      </c>
      <c r="U235" s="115"/>
      <c r="V235" s="83"/>
      <c r="W235" s="157">
        <f t="shared" si="54"/>
        <v>0.6</v>
      </c>
      <c r="X235" s="158">
        <v>0.7</v>
      </c>
      <c r="Y235" s="192">
        <f t="shared" si="55"/>
        <v>1.0162707893581406</v>
      </c>
    </row>
    <row r="236" spans="2:25" x14ac:dyDescent="0.25">
      <c r="H236" s="4">
        <v>20</v>
      </c>
      <c r="J236" s="58"/>
      <c r="K236" s="58"/>
      <c r="L236" s="58"/>
      <c r="M236" s="58">
        <f t="shared" si="53"/>
        <v>34.663369961767501</v>
      </c>
      <c r="N236" s="58">
        <f t="shared" si="53"/>
        <v>35.013098605131759</v>
      </c>
      <c r="O236" s="58">
        <f t="shared" si="53"/>
        <v>35.362827248496011</v>
      </c>
      <c r="P236" s="58">
        <f t="shared" si="52"/>
        <v>35.712555891860283</v>
      </c>
      <c r="Q236" s="58"/>
      <c r="R236" s="58"/>
      <c r="T236" s="11">
        <f>'curve_rzeta_targetnu_add_2.5'!N228</f>
        <v>0.60037423970674353</v>
      </c>
      <c r="U236" s="115"/>
      <c r="V236" s="83"/>
      <c r="W236" s="154">
        <f t="shared" si="54"/>
        <v>0.6</v>
      </c>
      <c r="X236" s="150">
        <v>0.7</v>
      </c>
      <c r="Y236" s="84"/>
    </row>
    <row r="237" spans="2:25" x14ac:dyDescent="0.25">
      <c r="H237" s="4">
        <v>30</v>
      </c>
      <c r="J237" s="58"/>
      <c r="K237" s="58"/>
      <c r="L237" s="58"/>
      <c r="M237" s="58">
        <f t="shared" si="53"/>
        <v>53.202083003819922</v>
      </c>
      <c r="N237" s="58">
        <f t="shared" si="53"/>
        <v>53.485270356632576</v>
      </c>
      <c r="O237" s="58">
        <f t="shared" si="53"/>
        <v>53.768457709445222</v>
      </c>
      <c r="P237" s="58">
        <f t="shared" si="52"/>
        <v>54.051645062257876</v>
      </c>
      <c r="Q237" s="58"/>
      <c r="R237" s="58"/>
      <c r="T237" s="11">
        <f>'curve_rzeta_targetnu_add_2.5'!N229</f>
        <v>0.59991143192709162</v>
      </c>
      <c r="U237" s="115"/>
      <c r="V237" s="83"/>
      <c r="W237" s="154">
        <f t="shared" si="54"/>
        <v>0.6</v>
      </c>
      <c r="X237" s="150">
        <v>0.7</v>
      </c>
      <c r="Y237" s="84"/>
    </row>
    <row r="238" spans="2:25" x14ac:dyDescent="0.25">
      <c r="H238" s="4">
        <v>40</v>
      </c>
      <c r="J238" s="58"/>
      <c r="K238" s="58"/>
      <c r="L238" s="58"/>
      <c r="M238" s="58">
        <f t="shared" si="53"/>
        <v>71.8026949208041</v>
      </c>
      <c r="N238" s="58">
        <f t="shared" si="53"/>
        <v>72.006961208078792</v>
      </c>
      <c r="O238" s="58">
        <f t="shared" si="53"/>
        <v>72.211227495353498</v>
      </c>
      <c r="P238" s="58">
        <f t="shared" si="52"/>
        <v>72.415493782628189</v>
      </c>
      <c r="Q238" s="58"/>
      <c r="R238" s="58"/>
      <c r="T238" s="11">
        <f>'curve_rzeta_targetnu_add_2.5'!N230</f>
        <v>0.60018001619784</v>
      </c>
      <c r="U238" s="115"/>
      <c r="V238" s="83"/>
      <c r="W238" s="154">
        <f t="shared" si="54"/>
        <v>0.6</v>
      </c>
      <c r="X238" s="150">
        <v>0.7</v>
      </c>
      <c r="Y238" s="84"/>
    </row>
    <row r="239" spans="2:25" x14ac:dyDescent="0.25">
      <c r="H239" s="4">
        <v>50</v>
      </c>
      <c r="J239" s="58"/>
      <c r="K239" s="58"/>
      <c r="L239" s="58"/>
      <c r="M239" s="58">
        <f t="shared" si="53"/>
        <v>90.372357400322372</v>
      </c>
      <c r="N239" s="58">
        <f t="shared" si="53"/>
        <v>90.503892509552315</v>
      </c>
      <c r="O239" s="58">
        <f t="shared" si="53"/>
        <v>90.635427618782231</v>
      </c>
      <c r="P239" s="58">
        <f t="shared" si="52"/>
        <v>90.766962728012146</v>
      </c>
      <c r="Q239" s="58"/>
      <c r="R239" s="58"/>
      <c r="T239" s="11">
        <f>'curve_rzeta_targetnu_add_2.5'!N231</f>
        <v>0.60014117149605906</v>
      </c>
      <c r="V239" s="83"/>
      <c r="W239" s="154">
        <f t="shared" si="54"/>
        <v>0.6</v>
      </c>
      <c r="X239" s="150">
        <v>0.7</v>
      </c>
      <c r="Y239" s="84"/>
    </row>
    <row r="240" spans="2:25" x14ac:dyDescent="0.25">
      <c r="H240" s="4">
        <v>60</v>
      </c>
      <c r="J240" s="58"/>
      <c r="K240" s="58"/>
      <c r="L240" s="58"/>
      <c r="M240" s="58">
        <f t="shared" si="53"/>
        <v>109.00391875477241</v>
      </c>
      <c r="N240" s="58">
        <f t="shared" si="53"/>
        <v>109.05034291097118</v>
      </c>
      <c r="O240" s="58">
        <f t="shared" si="53"/>
        <v>109.09676706717001</v>
      </c>
      <c r="P240" s="58">
        <f t="shared" si="52"/>
        <v>109.1431912233688</v>
      </c>
      <c r="Q240" s="58"/>
      <c r="R240" s="58"/>
      <c r="T240" s="11">
        <f>'curve_rzeta_targetnu_add_2.5'!N232</f>
        <v>0.60044860046858817</v>
      </c>
      <c r="V240" s="83"/>
      <c r="W240" s="154">
        <f t="shared" si="54"/>
        <v>0.6</v>
      </c>
      <c r="X240" s="150">
        <v>0.7</v>
      </c>
      <c r="Y240" s="84"/>
    </row>
    <row r="241" spans="1:25" ht="15.75" thickBot="1" x14ac:dyDescent="0.3">
      <c r="H241" s="4">
        <v>70</v>
      </c>
      <c r="J241" s="67"/>
      <c r="K241" s="67"/>
      <c r="L241" s="67"/>
      <c r="M241" s="67">
        <f t="shared" si="53"/>
        <v>127.43121382194772</v>
      </c>
      <c r="N241" s="67">
        <f t="shared" si="53"/>
        <v>127.43338028257035</v>
      </c>
      <c r="O241" s="67">
        <f t="shared" si="53"/>
        <v>127.43554674319296</v>
      </c>
      <c r="P241" s="67">
        <f t="shared" si="52"/>
        <v>127.43771320381559</v>
      </c>
      <c r="Q241" s="67"/>
      <c r="R241" s="67"/>
      <c r="T241" s="11">
        <f>'curve_rzeta_targetnu_add_2.5'!N233</f>
        <v>0.59972535777474034</v>
      </c>
      <c r="V241" s="93"/>
      <c r="W241" s="193">
        <f t="shared" si="54"/>
        <v>0.6</v>
      </c>
      <c r="X241" s="194">
        <v>0.7</v>
      </c>
      <c r="Y241" s="97"/>
    </row>
    <row r="242" spans="1:25" x14ac:dyDescent="0.25">
      <c r="M242" s="114"/>
      <c r="S242" t="s">
        <v>137</v>
      </c>
    </row>
    <row r="245" spans="1:25" ht="15.75" thickBot="1" x14ac:dyDescent="0.3">
      <c r="A245" s="141"/>
      <c r="B245" s="141"/>
      <c r="C245" s="141"/>
      <c r="D245" s="141"/>
      <c r="E245" s="141"/>
      <c r="F245" s="141"/>
      <c r="G245" s="141"/>
      <c r="H245" s="141"/>
      <c r="I245" s="141"/>
      <c r="J245" s="141"/>
      <c r="K245" s="141"/>
      <c r="L245" s="141"/>
      <c r="M245" s="142"/>
      <c r="N245" s="141"/>
      <c r="O245" s="141"/>
      <c r="P245" s="141"/>
      <c r="Q245" s="141"/>
      <c r="R245" s="141"/>
      <c r="S245" s="141"/>
      <c r="T245" s="141"/>
      <c r="U245" s="141"/>
      <c r="V245" s="141"/>
      <c r="W245" s="141"/>
      <c r="X245" s="141"/>
      <c r="Y245" s="141"/>
    </row>
    <row r="246" spans="1:25" ht="15.75" thickTop="1" x14ac:dyDescent="0.25">
      <c r="M246" s="114"/>
    </row>
    <row r="247" spans="1:25" x14ac:dyDescent="0.25">
      <c r="M247" s="114"/>
    </row>
    <row r="248" spans="1:25" x14ac:dyDescent="0.25">
      <c r="A248" t="s">
        <v>159</v>
      </c>
      <c r="B248" s="187" t="s">
        <v>160</v>
      </c>
      <c r="M248" s="114"/>
    </row>
    <row r="249" spans="1:25" x14ac:dyDescent="0.25">
      <c r="B249" t="s">
        <v>74</v>
      </c>
    </row>
    <row r="250" spans="1:25" x14ac:dyDescent="0.25">
      <c r="B250" s="20" t="s">
        <v>108</v>
      </c>
    </row>
    <row r="251" spans="1:25" x14ac:dyDescent="0.25">
      <c r="A251" s="83"/>
      <c r="B251" s="20"/>
    </row>
    <row r="252" spans="1:25" x14ac:dyDescent="0.25">
      <c r="A252" s="83"/>
      <c r="B252" s="135">
        <v>0.17100000000000001</v>
      </c>
      <c r="D252">
        <v>0.1363</v>
      </c>
    </row>
    <row r="253" spans="1:25" x14ac:dyDescent="0.25">
      <c r="A253" s="83"/>
      <c r="B253" s="85">
        <v>1</v>
      </c>
    </row>
    <row r="254" spans="1:25" x14ac:dyDescent="0.25">
      <c r="A254" s="83">
        <v>1</v>
      </c>
      <c r="B254" s="86">
        <f>B253+B$252</f>
        <v>1.171</v>
      </c>
      <c r="H254" s="7"/>
      <c r="L254" s="21"/>
      <c r="M254" s="31" t="s">
        <v>38</v>
      </c>
      <c r="N254" s="32">
        <f>B254</f>
        <v>1.171</v>
      </c>
      <c r="O254" s="32">
        <f>B255</f>
        <v>1.3420000000000001</v>
      </c>
      <c r="P254" s="32">
        <f>B256</f>
        <v>1.5130000000000001</v>
      </c>
      <c r="Q254" s="32">
        <f>B257</f>
        <v>1.6840000000000002</v>
      </c>
      <c r="R254" s="32">
        <f>B258</f>
        <v>1.8550000000000002</v>
      </c>
      <c r="S254" s="33"/>
    </row>
    <row r="255" spans="1:25" x14ac:dyDescent="0.25">
      <c r="A255" s="83">
        <v>2</v>
      </c>
      <c r="B255" s="86">
        <f t="shared" ref="B255:B259" si="56">B254+B$252</f>
        <v>1.3420000000000001</v>
      </c>
      <c r="L255" s="34"/>
      <c r="M255" s="35">
        <v>1</v>
      </c>
      <c r="N255" s="35">
        <v>2</v>
      </c>
      <c r="O255" s="35">
        <v>3</v>
      </c>
      <c r="P255" s="35">
        <v>4</v>
      </c>
      <c r="Q255" s="35">
        <v>5</v>
      </c>
      <c r="R255" s="35">
        <v>6</v>
      </c>
      <c r="S255" s="36"/>
    </row>
    <row r="256" spans="1:25" x14ac:dyDescent="0.25">
      <c r="A256" s="83">
        <v>3</v>
      </c>
      <c r="B256" s="86">
        <f t="shared" si="56"/>
        <v>1.5130000000000001</v>
      </c>
      <c r="K256" s="2" t="s">
        <v>76</v>
      </c>
      <c r="L256" s="24"/>
      <c r="M256" s="124">
        <v>0.28999999999999998</v>
      </c>
      <c r="N256" s="11">
        <f>$M256*N254</f>
        <v>0.33959</v>
      </c>
      <c r="O256" s="11">
        <f>$M256*O254</f>
        <v>0.38917999999999997</v>
      </c>
      <c r="P256" s="11">
        <f>$M256*P254</f>
        <v>0.43876999999999999</v>
      </c>
      <c r="Q256" s="11">
        <f>$M256*Q254</f>
        <v>0.48836000000000002</v>
      </c>
      <c r="R256" s="130">
        <f>$M256*R254</f>
        <v>0.53795000000000004</v>
      </c>
      <c r="S256" s="36" t="s">
        <v>39</v>
      </c>
      <c r="T256" s="140">
        <f>R256/M278</f>
        <v>0.99990706319702605</v>
      </c>
      <c r="U256" s="171">
        <f>B252/T256</f>
        <v>0.17101589367041548</v>
      </c>
    </row>
    <row r="257" spans="1:24" x14ac:dyDescent="0.25">
      <c r="A257" s="83">
        <v>4</v>
      </c>
      <c r="B257" s="86">
        <f t="shared" si="56"/>
        <v>1.6840000000000002</v>
      </c>
      <c r="L257" s="26"/>
      <c r="M257" s="38">
        <f t="shared" ref="M257:R257" si="57">M256</f>
        <v>0.28999999999999998</v>
      </c>
      <c r="N257" s="38">
        <f t="shared" si="57"/>
        <v>0.33959</v>
      </c>
      <c r="O257" s="38">
        <f t="shared" si="57"/>
        <v>0.38917999999999997</v>
      </c>
      <c r="P257" s="38">
        <f t="shared" si="57"/>
        <v>0.43876999999999999</v>
      </c>
      <c r="Q257" s="38">
        <f t="shared" si="57"/>
        <v>0.48836000000000002</v>
      </c>
      <c r="R257" s="38">
        <f t="shared" si="57"/>
        <v>0.53795000000000004</v>
      </c>
      <c r="S257" s="39" t="s">
        <v>42</v>
      </c>
    </row>
    <row r="258" spans="1:24" x14ac:dyDescent="0.25">
      <c r="A258" s="83">
        <v>5</v>
      </c>
      <c r="B258" s="86">
        <f t="shared" si="56"/>
        <v>1.8550000000000002</v>
      </c>
    </row>
    <row r="259" spans="1:24" x14ac:dyDescent="0.25">
      <c r="A259" s="83">
        <v>6</v>
      </c>
      <c r="B259" s="86">
        <f t="shared" si="56"/>
        <v>2.0260000000000002</v>
      </c>
      <c r="D259" t="s">
        <v>72</v>
      </c>
      <c r="K259" s="18"/>
      <c r="L259" s="20" t="s">
        <v>154</v>
      </c>
    </row>
    <row r="260" spans="1:24" x14ac:dyDescent="0.25">
      <c r="A260" s="83"/>
      <c r="B260" s="86"/>
      <c r="F260" s="40" t="s">
        <v>101</v>
      </c>
      <c r="G260" s="22"/>
      <c r="H260" s="22"/>
      <c r="I260" s="22"/>
      <c r="J260" s="22"/>
      <c r="K260" s="22"/>
      <c r="L260" s="210" t="s">
        <v>119</v>
      </c>
      <c r="M260" s="167"/>
      <c r="N260" s="21"/>
      <c r="O260" s="167" t="s">
        <v>161</v>
      </c>
      <c r="P260" s="22"/>
      <c r="Q260" s="208" t="s">
        <v>45</v>
      </c>
      <c r="R260" s="23"/>
    </row>
    <row r="261" spans="1:24" x14ac:dyDescent="0.25">
      <c r="A261" s="83"/>
      <c r="B261" s="86"/>
      <c r="F261" s="183"/>
      <c r="L261" s="187" t="s">
        <v>123</v>
      </c>
      <c r="M261" s="184"/>
      <c r="N261" s="24"/>
      <c r="O261" s="184"/>
      <c r="Q261" s="209"/>
      <c r="R261" s="25"/>
    </row>
    <row r="262" spans="1:24" x14ac:dyDescent="0.25">
      <c r="A262" s="83"/>
      <c r="B262" s="20"/>
      <c r="F262" s="24"/>
      <c r="L262" s="207" t="s">
        <v>124</v>
      </c>
      <c r="N262" s="24"/>
      <c r="Q262" s="25"/>
      <c r="R262" s="25"/>
    </row>
    <row r="263" spans="1:24" x14ac:dyDescent="0.25">
      <c r="A263" s="83"/>
      <c r="F263" s="41"/>
      <c r="G263" s="42"/>
      <c r="H263" s="42"/>
      <c r="I263" s="42"/>
      <c r="J263" s="42"/>
      <c r="K263" s="42"/>
      <c r="L263" s="42"/>
      <c r="M263" s="42"/>
      <c r="N263" s="172" t="s">
        <v>166</v>
      </c>
      <c r="O263" s="42" t="s">
        <v>167</v>
      </c>
      <c r="P263" s="42" t="s">
        <v>176</v>
      </c>
      <c r="Q263" s="173" t="s">
        <v>177</v>
      </c>
      <c r="R263" s="43"/>
    </row>
    <row r="264" spans="1:24" x14ac:dyDescent="0.25">
      <c r="A264" s="83"/>
      <c r="C264" s="73" t="s">
        <v>34</v>
      </c>
      <c r="F264" s="44"/>
      <c r="G264" s="4">
        <v>-5</v>
      </c>
      <c r="H264" s="4">
        <v>-4</v>
      </c>
      <c r="I264" s="4">
        <v>-3</v>
      </c>
      <c r="J264" s="4">
        <v>-2</v>
      </c>
      <c r="K264" s="4">
        <v>-1</v>
      </c>
      <c r="L264" s="4">
        <v>0</v>
      </c>
      <c r="M264" s="4">
        <v>1</v>
      </c>
      <c r="N264" s="44">
        <v>2</v>
      </c>
      <c r="O264" s="4">
        <v>3</v>
      </c>
      <c r="P264" s="4">
        <v>4</v>
      </c>
      <c r="Q264" s="45">
        <v>5</v>
      </c>
      <c r="R264" s="45">
        <v>6</v>
      </c>
      <c r="T264" s="4">
        <v>1</v>
      </c>
      <c r="U264" s="4">
        <v>6</v>
      </c>
    </row>
    <row r="265" spans="1:24" x14ac:dyDescent="0.25">
      <c r="A265" s="83"/>
      <c r="B265" s="4"/>
      <c r="C265" s="4" t="s">
        <v>10</v>
      </c>
      <c r="D265" s="87" t="s">
        <v>37</v>
      </c>
      <c r="E265" s="73"/>
      <c r="F265" s="24"/>
      <c r="N265" s="218" t="s">
        <v>43</v>
      </c>
      <c r="Q265" s="25"/>
      <c r="R265" s="25"/>
      <c r="T265" t="s">
        <v>129</v>
      </c>
    </row>
    <row r="266" spans="1:24" x14ac:dyDescent="0.25">
      <c r="A266" s="83"/>
      <c r="B266" s="4" t="s">
        <v>9</v>
      </c>
      <c r="C266" s="88" t="s">
        <v>36</v>
      </c>
      <c r="D266" s="89">
        <v>-0.02</v>
      </c>
      <c r="E266" s="74"/>
      <c r="F266" s="24"/>
      <c r="G266" s="47"/>
      <c r="H266" s="47"/>
      <c r="I266" s="47"/>
      <c r="J266" s="47"/>
      <c r="K266" s="47"/>
      <c r="L266" s="47"/>
      <c r="M266" s="144">
        <f>M256</f>
        <v>0.28999999999999998</v>
      </c>
      <c r="N266" s="213">
        <f>N256</f>
        <v>0.33959</v>
      </c>
      <c r="O266" s="144">
        <f t="shared" ref="O266:R266" si="58">O256</f>
        <v>0.38917999999999997</v>
      </c>
      <c r="P266" s="144">
        <f t="shared" si="58"/>
        <v>0.43876999999999999</v>
      </c>
      <c r="Q266" s="145">
        <f t="shared" si="58"/>
        <v>0.48836000000000002</v>
      </c>
      <c r="R266" s="145">
        <f t="shared" si="58"/>
        <v>0.53795000000000004</v>
      </c>
    </row>
    <row r="267" spans="1:24" x14ac:dyDescent="0.25">
      <c r="A267" s="83"/>
      <c r="B267" s="4">
        <v>1</v>
      </c>
      <c r="C267" s="6">
        <v>0.78</v>
      </c>
      <c r="D267" s="6">
        <f>C267+$D$101</f>
        <v>0.76</v>
      </c>
      <c r="E267" s="11">
        <f>M211/M267</f>
        <v>1.1206896551724139</v>
      </c>
      <c r="F267" s="49">
        <f t="shared" ref="F267:F277" si="59">M267/M268</f>
        <v>0.80555555555555558</v>
      </c>
      <c r="G267" s="13">
        <f>($W267*G$44)+$X267</f>
        <v>-7.5399999999999356E-3</v>
      </c>
      <c r="H267" s="13">
        <f t="shared" ref="H267:K267" si="60">($W267*H$44)+$X267</f>
        <v>4.205000000000006E-2</v>
      </c>
      <c r="I267" s="13">
        <f t="shared" si="60"/>
        <v>9.1640000000000055E-2</v>
      </c>
      <c r="J267" s="13">
        <f t="shared" si="60"/>
        <v>0.14123000000000002</v>
      </c>
      <c r="K267" s="13">
        <f t="shared" si="60"/>
        <v>0.19082000000000002</v>
      </c>
      <c r="L267" s="13">
        <f>($W267*L$44)+$X267</f>
        <v>0.24041000000000001</v>
      </c>
      <c r="M267" s="136">
        <v>0.28999999999999998</v>
      </c>
      <c r="N267" s="163">
        <f>($W267*N$44)+$X267</f>
        <v>0.33959</v>
      </c>
      <c r="O267" s="13">
        <f t="shared" ref="O267:Q278" si="61">($W267*O$44)+$X267</f>
        <v>0.38917999999999997</v>
      </c>
      <c r="P267" s="13">
        <f t="shared" si="61"/>
        <v>0.43876999999999999</v>
      </c>
      <c r="Q267" s="76">
        <f t="shared" si="61"/>
        <v>0.48835999999999996</v>
      </c>
      <c r="R267" s="131">
        <f>$R$256</f>
        <v>0.53795000000000004</v>
      </c>
      <c r="S267" s="130"/>
      <c r="T267" s="11">
        <f>M267</f>
        <v>0.28999999999999998</v>
      </c>
      <c r="U267" s="11">
        <f t="shared" ref="U267:U277" si="62">R267</f>
        <v>0.53795000000000004</v>
      </c>
      <c r="V267" s="90" t="s">
        <v>44</v>
      </c>
      <c r="W267" s="91">
        <f>INDEX(LINEST(T267:U267,(T$44:U$44)^{1}),1)</f>
        <v>4.9589999999999988E-2</v>
      </c>
      <c r="X267" s="91">
        <f>INDEX(LINEST(T267:U267,(T$44:U$44)^{1}),1,2)</f>
        <v>0.24041000000000001</v>
      </c>
    </row>
    <row r="268" spans="1:24" x14ac:dyDescent="0.25">
      <c r="A268" s="83"/>
      <c r="B268" s="4">
        <v>2</v>
      </c>
      <c r="C268" s="1">
        <v>0.56999999999999995</v>
      </c>
      <c r="D268" s="1">
        <f t="shared" ref="D268:D278" si="63">C268+$D$101</f>
        <v>0.54999999999999993</v>
      </c>
      <c r="E268" s="11">
        <f t="shared" ref="E268:E278" si="64">M212/M268</f>
        <v>1.1111111111111112</v>
      </c>
      <c r="F268" s="49">
        <f t="shared" si="59"/>
        <v>0.89999999999999991</v>
      </c>
      <c r="G268" s="12">
        <f t="shared" ref="G268:N278" si="65">($W268*G$44)+$X268</f>
        <v>0.14645999999999992</v>
      </c>
      <c r="H268" s="12">
        <f t="shared" si="65"/>
        <v>0.18204999999999993</v>
      </c>
      <c r="I268" s="12">
        <f t="shared" si="65"/>
        <v>0.21763999999999994</v>
      </c>
      <c r="J268" s="12">
        <f t="shared" si="65"/>
        <v>0.25322999999999996</v>
      </c>
      <c r="K268" s="12">
        <f t="shared" si="65"/>
        <v>0.28881999999999997</v>
      </c>
      <c r="L268" s="12">
        <f t="shared" si="65"/>
        <v>0.32440999999999998</v>
      </c>
      <c r="M268" s="137">
        <v>0.36</v>
      </c>
      <c r="N268" s="164">
        <f t="shared" si="65"/>
        <v>0.39559</v>
      </c>
      <c r="O268" s="12">
        <f t="shared" si="61"/>
        <v>0.43118000000000001</v>
      </c>
      <c r="P268" s="12">
        <f t="shared" si="61"/>
        <v>0.46677000000000002</v>
      </c>
      <c r="Q268" s="127">
        <f t="shared" si="61"/>
        <v>0.50236000000000003</v>
      </c>
      <c r="R268" s="132">
        <f t="shared" ref="R268:R278" si="66">$R$256</f>
        <v>0.53795000000000004</v>
      </c>
      <c r="S268" s="130"/>
      <c r="T268" s="11">
        <f t="shared" ref="T268:T277" si="67">M268</f>
        <v>0.36</v>
      </c>
      <c r="U268" s="11">
        <f t="shared" si="62"/>
        <v>0.53795000000000004</v>
      </c>
      <c r="V268" s="90" t="s">
        <v>44</v>
      </c>
      <c r="W268" s="91">
        <f>INDEX(LINEST(T268:U268,(T$44:U$44)^{1}),1)</f>
        <v>3.5590000000000011E-2</v>
      </c>
      <c r="X268" s="91">
        <f>INDEX(LINEST(T268:U268,(T$44:U$44)^{1}),1,2)</f>
        <v>0.32440999999999998</v>
      </c>
    </row>
    <row r="269" spans="1:24" x14ac:dyDescent="0.25">
      <c r="A269" s="83"/>
      <c r="B269" s="4">
        <v>3</v>
      </c>
      <c r="C269" s="5">
        <v>0.54</v>
      </c>
      <c r="D269" s="5">
        <f t="shared" si="63"/>
        <v>0.52</v>
      </c>
      <c r="E269" s="11">
        <f t="shared" si="64"/>
        <v>1.095</v>
      </c>
      <c r="F269" s="49">
        <f t="shared" si="59"/>
        <v>0.91954022988505757</v>
      </c>
      <c r="G269" s="14">
        <f t="shared" si="65"/>
        <v>0.23446000000000003</v>
      </c>
      <c r="H269" s="14">
        <f t="shared" si="65"/>
        <v>0.26205000000000001</v>
      </c>
      <c r="I269" s="14">
        <f t="shared" si="65"/>
        <v>0.28964000000000001</v>
      </c>
      <c r="J269" s="14">
        <f t="shared" si="65"/>
        <v>0.31723000000000001</v>
      </c>
      <c r="K269" s="14">
        <f t="shared" si="65"/>
        <v>0.34482000000000002</v>
      </c>
      <c r="L269" s="14">
        <f t="shared" si="65"/>
        <v>0.37241000000000002</v>
      </c>
      <c r="M269" s="138">
        <v>0.4</v>
      </c>
      <c r="N269" s="165">
        <f t="shared" si="65"/>
        <v>0.42759000000000003</v>
      </c>
      <c r="O269" s="14">
        <f t="shared" si="61"/>
        <v>0.45518000000000003</v>
      </c>
      <c r="P269" s="14">
        <f t="shared" si="61"/>
        <v>0.48277000000000003</v>
      </c>
      <c r="Q269" s="128">
        <f t="shared" si="61"/>
        <v>0.51036000000000004</v>
      </c>
      <c r="R269" s="133">
        <f t="shared" si="66"/>
        <v>0.53795000000000004</v>
      </c>
      <c r="S269" s="130"/>
      <c r="T269" s="11">
        <f t="shared" si="67"/>
        <v>0.4</v>
      </c>
      <c r="U269" s="11">
        <f t="shared" si="62"/>
        <v>0.53795000000000004</v>
      </c>
      <c r="V269" s="90" t="s">
        <v>44</v>
      </c>
      <c r="W269" s="91">
        <f>INDEX(LINEST(T269:U269,(T$44:U$44)^{1}),1)</f>
        <v>2.759E-2</v>
      </c>
      <c r="X269" s="91">
        <f>INDEX(LINEST(T269:U269,(T$44:U$44)^{1}),1,2)</f>
        <v>0.37241000000000002</v>
      </c>
    </row>
    <row r="270" spans="1:24" x14ac:dyDescent="0.25">
      <c r="A270" s="83"/>
      <c r="B270" s="4">
        <v>4</v>
      </c>
      <c r="C270" s="1">
        <v>0.53</v>
      </c>
      <c r="D270" s="1">
        <f t="shared" si="63"/>
        <v>0.51</v>
      </c>
      <c r="E270" s="11">
        <f t="shared" si="64"/>
        <v>1.0505747126436782</v>
      </c>
      <c r="F270" s="49">
        <f t="shared" si="59"/>
        <v>0.95604395604395598</v>
      </c>
      <c r="G270" s="12">
        <f t="shared" si="65"/>
        <v>0.3114599999999999</v>
      </c>
      <c r="H270" s="12">
        <f t="shared" si="65"/>
        <v>0.3320499999999999</v>
      </c>
      <c r="I270" s="12">
        <f t="shared" si="65"/>
        <v>0.35263999999999995</v>
      </c>
      <c r="J270" s="12">
        <f t="shared" si="65"/>
        <v>0.37322999999999995</v>
      </c>
      <c r="K270" s="12">
        <f t="shared" si="65"/>
        <v>0.39381999999999995</v>
      </c>
      <c r="L270" s="12">
        <f t="shared" si="65"/>
        <v>0.41440999999999995</v>
      </c>
      <c r="M270" s="137">
        <v>0.435</v>
      </c>
      <c r="N270" s="164">
        <f t="shared" si="65"/>
        <v>0.45558999999999994</v>
      </c>
      <c r="O270" s="12">
        <f t="shared" si="61"/>
        <v>0.47617999999999994</v>
      </c>
      <c r="P270" s="12">
        <f t="shared" si="61"/>
        <v>0.49676999999999999</v>
      </c>
      <c r="Q270" s="127">
        <f t="shared" si="61"/>
        <v>0.51736000000000004</v>
      </c>
      <c r="R270" s="132">
        <f t="shared" si="66"/>
        <v>0.53795000000000004</v>
      </c>
      <c r="S270" s="130"/>
      <c r="T270" s="11">
        <f t="shared" si="67"/>
        <v>0.435</v>
      </c>
      <c r="U270" s="11">
        <f t="shared" si="62"/>
        <v>0.53795000000000004</v>
      </c>
      <c r="V270" s="90" t="s">
        <v>44</v>
      </c>
      <c r="W270" s="91">
        <f>INDEX(LINEST(T270:U270,(T$44:U$44)^{1}),1)</f>
        <v>2.0590000000000008E-2</v>
      </c>
      <c r="X270" s="91">
        <f>INDEX(LINEST(T270:U270,(T$44:U$44)^{1}),1,2)</f>
        <v>0.41440999999999995</v>
      </c>
    </row>
    <row r="271" spans="1:24" x14ac:dyDescent="0.25">
      <c r="A271" s="83"/>
      <c r="B271" s="4">
        <v>5</v>
      </c>
      <c r="C271" s="1">
        <v>0.56000000000000005</v>
      </c>
      <c r="D271" s="1">
        <f t="shared" si="63"/>
        <v>0.54</v>
      </c>
      <c r="E271" s="11">
        <f t="shared" si="64"/>
        <v>1.054945054945055</v>
      </c>
      <c r="F271" s="49">
        <f t="shared" si="59"/>
        <v>0.94989561586638838</v>
      </c>
      <c r="G271" s="12">
        <f t="shared" si="65"/>
        <v>0.35545999999999994</v>
      </c>
      <c r="H271" s="12">
        <f t="shared" si="65"/>
        <v>0.37204999999999994</v>
      </c>
      <c r="I271" s="12">
        <f t="shared" si="65"/>
        <v>0.38863999999999999</v>
      </c>
      <c r="J271" s="12">
        <f t="shared" si="65"/>
        <v>0.40522999999999998</v>
      </c>
      <c r="K271" s="12">
        <f t="shared" si="65"/>
        <v>0.42181999999999997</v>
      </c>
      <c r="L271" s="12">
        <f t="shared" si="65"/>
        <v>0.43840999999999997</v>
      </c>
      <c r="M271" s="137">
        <v>0.45500000000000002</v>
      </c>
      <c r="N271" s="164">
        <f t="shared" si="65"/>
        <v>0.47158999999999995</v>
      </c>
      <c r="O271" s="12">
        <f t="shared" si="61"/>
        <v>0.48817999999999995</v>
      </c>
      <c r="P271" s="12">
        <f t="shared" si="61"/>
        <v>0.50476999999999994</v>
      </c>
      <c r="Q271" s="127">
        <f t="shared" si="61"/>
        <v>0.52136000000000005</v>
      </c>
      <c r="R271" s="132">
        <f t="shared" si="66"/>
        <v>0.53795000000000004</v>
      </c>
      <c r="S271" s="130"/>
      <c r="T271" s="11">
        <f t="shared" si="67"/>
        <v>0.45500000000000002</v>
      </c>
      <c r="U271" s="11">
        <f t="shared" si="62"/>
        <v>0.53795000000000004</v>
      </c>
      <c r="V271" s="90" t="s">
        <v>44</v>
      </c>
      <c r="W271" s="91">
        <f>INDEX(LINEST(T271:U271,(T$44:U$44)^{1}),1)</f>
        <v>1.6590000000000004E-2</v>
      </c>
      <c r="X271" s="91">
        <f>INDEX(LINEST(T271:U271,(T$44:U$44)^{1}),1,2)</f>
        <v>0.43840999999999997</v>
      </c>
    </row>
    <row r="272" spans="1:24" x14ac:dyDescent="0.25">
      <c r="A272" s="83"/>
      <c r="B272" s="4">
        <v>10</v>
      </c>
      <c r="C272" s="5">
        <v>0.64</v>
      </c>
      <c r="D272" s="5">
        <f t="shared" si="63"/>
        <v>0.62</v>
      </c>
      <c r="E272" s="11">
        <f t="shared" si="64"/>
        <v>1.1043841336116911</v>
      </c>
      <c r="F272" s="49">
        <f t="shared" si="59"/>
        <v>0.9392156862745098</v>
      </c>
      <c r="G272" s="14">
        <f t="shared" si="65"/>
        <v>0.4082599999999999</v>
      </c>
      <c r="H272" s="14">
        <f t="shared" si="65"/>
        <v>0.42004999999999992</v>
      </c>
      <c r="I272" s="14">
        <f t="shared" si="65"/>
        <v>0.43183999999999995</v>
      </c>
      <c r="J272" s="14">
        <f t="shared" si="65"/>
        <v>0.44362999999999991</v>
      </c>
      <c r="K272" s="14">
        <f>($W272*K$44)+$X272</f>
        <v>0.45541999999999994</v>
      </c>
      <c r="L272" s="14">
        <f t="shared" si="65"/>
        <v>0.46720999999999996</v>
      </c>
      <c r="M272" s="138">
        <v>0.47899999999999998</v>
      </c>
      <c r="N272" s="165">
        <f>($W272*N$44)+$X272</f>
        <v>0.49079</v>
      </c>
      <c r="O272" s="14">
        <f t="shared" si="61"/>
        <v>0.50258000000000003</v>
      </c>
      <c r="P272" s="14">
        <f t="shared" si="61"/>
        <v>0.51436999999999999</v>
      </c>
      <c r="Q272" s="128">
        <f t="shared" si="61"/>
        <v>0.52615999999999996</v>
      </c>
      <c r="R272" s="133">
        <f t="shared" si="66"/>
        <v>0.53795000000000004</v>
      </c>
      <c r="S272" s="130"/>
      <c r="T272" s="11">
        <f t="shared" si="67"/>
        <v>0.47899999999999998</v>
      </c>
      <c r="U272" s="11">
        <f t="shared" si="62"/>
        <v>0.53795000000000004</v>
      </c>
      <c r="V272" s="90" t="s">
        <v>44</v>
      </c>
      <c r="W272" s="91">
        <f>INDEX(LINEST(T272:U272,(T$44:U$44)^{1}),1)</f>
        <v>1.1790000000000011E-2</v>
      </c>
      <c r="X272" s="91">
        <f>INDEX(LINEST(T272:U272,(T$44:U$44)^{1}),1,2)</f>
        <v>0.46720999999999996</v>
      </c>
    </row>
    <row r="273" spans="1:25" x14ac:dyDescent="0.25">
      <c r="A273" s="83"/>
      <c r="B273" s="4">
        <v>20</v>
      </c>
      <c r="C273" s="1">
        <v>0.66</v>
      </c>
      <c r="D273" s="1">
        <f t="shared" si="63"/>
        <v>0.64</v>
      </c>
      <c r="E273" s="11">
        <f t="shared" si="64"/>
        <v>1.0980392156862746</v>
      </c>
      <c r="F273" s="49">
        <f t="shared" si="59"/>
        <v>0.9751434034416826</v>
      </c>
      <c r="G273" s="12">
        <f t="shared" si="65"/>
        <v>0.47645999999999999</v>
      </c>
      <c r="H273" s="12">
        <f t="shared" si="65"/>
        <v>0.48204999999999998</v>
      </c>
      <c r="I273" s="12">
        <f t="shared" si="65"/>
        <v>0.48764000000000002</v>
      </c>
      <c r="J273" s="12">
        <f t="shared" si="65"/>
        <v>0.49323</v>
      </c>
      <c r="K273" s="12">
        <f t="shared" si="65"/>
        <v>0.49882000000000004</v>
      </c>
      <c r="L273" s="12">
        <f t="shared" si="65"/>
        <v>0.50441000000000003</v>
      </c>
      <c r="M273" s="137">
        <v>0.51</v>
      </c>
      <c r="N273" s="164">
        <f t="shared" si="65"/>
        <v>0.51558999999999999</v>
      </c>
      <c r="O273" s="12">
        <f t="shared" si="61"/>
        <v>0.52118000000000009</v>
      </c>
      <c r="P273" s="12">
        <f t="shared" si="61"/>
        <v>0.52677000000000007</v>
      </c>
      <c r="Q273" s="127">
        <f t="shared" si="61"/>
        <v>0.53236000000000006</v>
      </c>
      <c r="R273" s="132">
        <f t="shared" si="66"/>
        <v>0.53795000000000004</v>
      </c>
      <c r="S273" s="130"/>
      <c r="T273" s="11">
        <f t="shared" si="67"/>
        <v>0.51</v>
      </c>
      <c r="U273" s="11">
        <f t="shared" si="62"/>
        <v>0.53795000000000004</v>
      </c>
      <c r="V273" s="90" t="s">
        <v>44</v>
      </c>
      <c r="W273" s="91">
        <f>INDEX(LINEST(T273:U273,(T$44:U$44)^{1}),1)</f>
        <v>5.5900000000000056E-3</v>
      </c>
      <c r="X273" s="91">
        <f>INDEX(LINEST(T273:U273,(T$44:U$44)^{1}),1,2)</f>
        <v>0.50441000000000003</v>
      </c>
    </row>
    <row r="274" spans="1:25" x14ac:dyDescent="0.25">
      <c r="A274" s="83"/>
      <c r="B274" s="4">
        <v>30</v>
      </c>
      <c r="C274" s="1">
        <v>0.68</v>
      </c>
      <c r="D274" s="1">
        <f t="shared" si="63"/>
        <v>0.66</v>
      </c>
      <c r="E274" s="11">
        <f t="shared" si="64"/>
        <v>1.0956022944550667</v>
      </c>
      <c r="F274" s="49">
        <f t="shared" si="59"/>
        <v>0.98679245283018868</v>
      </c>
      <c r="G274" s="12">
        <f t="shared" si="65"/>
        <v>0.50505999999999995</v>
      </c>
      <c r="H274" s="12">
        <f t="shared" si="65"/>
        <v>0.50805</v>
      </c>
      <c r="I274" s="12">
        <f t="shared" si="65"/>
        <v>0.51103999999999994</v>
      </c>
      <c r="J274" s="12">
        <f t="shared" si="65"/>
        <v>0.51402999999999999</v>
      </c>
      <c r="K274" s="12">
        <f t="shared" si="65"/>
        <v>0.51701999999999992</v>
      </c>
      <c r="L274" s="12">
        <f t="shared" si="65"/>
        <v>0.52000999999999997</v>
      </c>
      <c r="M274" s="137">
        <v>0.52300000000000002</v>
      </c>
      <c r="N274" s="164">
        <f t="shared" si="65"/>
        <v>0.52598999999999996</v>
      </c>
      <c r="O274" s="12">
        <f t="shared" si="61"/>
        <v>0.52898000000000001</v>
      </c>
      <c r="P274" s="12">
        <f t="shared" si="61"/>
        <v>0.53196999999999994</v>
      </c>
      <c r="Q274" s="127">
        <f t="shared" si="61"/>
        <v>0.53495999999999999</v>
      </c>
      <c r="R274" s="132">
        <f t="shared" si="66"/>
        <v>0.53795000000000004</v>
      </c>
      <c r="S274" s="130"/>
      <c r="T274" s="11">
        <f t="shared" si="67"/>
        <v>0.52300000000000002</v>
      </c>
      <c r="U274" s="11">
        <f t="shared" si="62"/>
        <v>0.53795000000000004</v>
      </c>
      <c r="V274" s="90" t="s">
        <v>44</v>
      </c>
      <c r="W274" s="91">
        <f>INDEX(LINEST(T274:U274,(T$44:U$44)^{1}),1)</f>
        <v>2.9900000000000035E-3</v>
      </c>
      <c r="X274" s="91">
        <f>INDEX(LINEST(T274:U274,(T$44:U$44)^{1}),1,2)</f>
        <v>0.52000999999999997</v>
      </c>
    </row>
    <row r="275" spans="1:25" x14ac:dyDescent="0.25">
      <c r="A275" s="83"/>
      <c r="B275" s="4">
        <v>40</v>
      </c>
      <c r="C275" s="1">
        <v>0.69</v>
      </c>
      <c r="D275" s="1">
        <f t="shared" si="63"/>
        <v>0.66999999999999993</v>
      </c>
      <c r="E275" s="11">
        <f t="shared" si="64"/>
        <v>1.0943396226415094</v>
      </c>
      <c r="F275" s="49">
        <f t="shared" si="59"/>
        <v>0.99250936329588013</v>
      </c>
      <c r="G275" s="12">
        <f t="shared" si="65"/>
        <v>0.52046000000000003</v>
      </c>
      <c r="H275" s="12">
        <f t="shared" si="65"/>
        <v>0.52205000000000001</v>
      </c>
      <c r="I275" s="12">
        <f t="shared" si="65"/>
        <v>0.52363999999999999</v>
      </c>
      <c r="J275" s="12">
        <f t="shared" si="65"/>
        <v>0.52523000000000009</v>
      </c>
      <c r="K275" s="12">
        <f t="shared" si="65"/>
        <v>0.52682000000000007</v>
      </c>
      <c r="L275" s="12">
        <f t="shared" si="65"/>
        <v>0.52841000000000005</v>
      </c>
      <c r="M275" s="137">
        <v>0.53</v>
      </c>
      <c r="N275" s="164">
        <f t="shared" si="65"/>
        <v>0.53159000000000001</v>
      </c>
      <c r="O275" s="12">
        <f t="shared" si="61"/>
        <v>0.5331800000000001</v>
      </c>
      <c r="P275" s="12">
        <f t="shared" si="61"/>
        <v>0.53477000000000008</v>
      </c>
      <c r="Q275" s="127">
        <f t="shared" si="61"/>
        <v>0.53636000000000006</v>
      </c>
      <c r="R275" s="132">
        <f t="shared" si="66"/>
        <v>0.53795000000000004</v>
      </c>
      <c r="S275" s="130"/>
      <c r="T275" s="11">
        <f t="shared" si="67"/>
        <v>0.53</v>
      </c>
      <c r="U275" s="11">
        <f t="shared" si="62"/>
        <v>0.53795000000000004</v>
      </c>
      <c r="V275" s="90" t="s">
        <v>44</v>
      </c>
      <c r="W275" s="91">
        <f>INDEX(LINEST(T275:U275,(T$44:U$44)^{1}),1)</f>
        <v>1.5900000000000018E-3</v>
      </c>
      <c r="X275" s="91">
        <f>INDEX(LINEST(T275:U275,(T$44:U$44)^{1}),1,2)</f>
        <v>0.52841000000000005</v>
      </c>
    </row>
    <row r="276" spans="1:25" x14ac:dyDescent="0.25">
      <c r="A276" s="83"/>
      <c r="B276" s="4">
        <v>50</v>
      </c>
      <c r="C276" s="1">
        <v>0.71</v>
      </c>
      <c r="D276" s="1">
        <f t="shared" si="63"/>
        <v>0.69</v>
      </c>
      <c r="E276" s="11">
        <f t="shared" si="64"/>
        <v>1.0936329588014979</v>
      </c>
      <c r="F276" s="49">
        <f t="shared" si="59"/>
        <v>0.994413407821229</v>
      </c>
      <c r="G276" s="12">
        <f t="shared" si="65"/>
        <v>0.52926000000000006</v>
      </c>
      <c r="H276" s="12">
        <f t="shared" si="65"/>
        <v>0.53005000000000002</v>
      </c>
      <c r="I276" s="12">
        <f t="shared" si="65"/>
        <v>0.53084000000000009</v>
      </c>
      <c r="J276" s="12">
        <f t="shared" si="65"/>
        <v>0.53163000000000005</v>
      </c>
      <c r="K276" s="12">
        <f t="shared" si="65"/>
        <v>0.53242000000000012</v>
      </c>
      <c r="L276" s="12">
        <f t="shared" si="65"/>
        <v>0.53321000000000007</v>
      </c>
      <c r="M276" s="137">
        <v>0.53400000000000003</v>
      </c>
      <c r="N276" s="164">
        <f t="shared" si="65"/>
        <v>0.5347900000000001</v>
      </c>
      <c r="O276" s="12">
        <f t="shared" si="61"/>
        <v>0.53558000000000006</v>
      </c>
      <c r="P276" s="12">
        <f t="shared" si="61"/>
        <v>0.53637000000000012</v>
      </c>
      <c r="Q276" s="127">
        <f t="shared" si="61"/>
        <v>0.53716000000000008</v>
      </c>
      <c r="R276" s="132">
        <f t="shared" si="66"/>
        <v>0.53795000000000004</v>
      </c>
      <c r="S276" s="130"/>
      <c r="T276" s="11">
        <f t="shared" si="67"/>
        <v>0.53400000000000003</v>
      </c>
      <c r="U276" s="11">
        <f t="shared" si="62"/>
        <v>0.53795000000000004</v>
      </c>
      <c r="V276" s="90" t="s">
        <v>44</v>
      </c>
      <c r="W276" s="91">
        <f>INDEX(LINEST(T276:U276,(T$44:U$44)^{1}),1)</f>
        <v>7.9000000000000175E-4</v>
      </c>
      <c r="X276" s="91">
        <f>INDEX(LINEST(T276:U276,(T$44:U$44)^{1}),1,2)</f>
        <v>0.53321000000000007</v>
      </c>
    </row>
    <row r="277" spans="1:25" x14ac:dyDescent="0.25">
      <c r="A277" s="83"/>
      <c r="B277" s="4">
        <v>60</v>
      </c>
      <c r="C277" s="1">
        <v>0.72</v>
      </c>
      <c r="D277" s="1">
        <f t="shared" si="63"/>
        <v>0.7</v>
      </c>
      <c r="E277" s="11">
        <f t="shared" si="64"/>
        <v>1.0931098696461823</v>
      </c>
      <c r="F277" s="49">
        <f t="shared" si="59"/>
        <v>0.9981412639405205</v>
      </c>
      <c r="G277" s="12">
        <f t="shared" si="65"/>
        <v>0.53586</v>
      </c>
      <c r="H277" s="12">
        <f t="shared" si="65"/>
        <v>0.53605000000000003</v>
      </c>
      <c r="I277" s="12">
        <f t="shared" si="65"/>
        <v>0.53624000000000005</v>
      </c>
      <c r="J277" s="12">
        <f t="shared" si="65"/>
        <v>0.53642999999999996</v>
      </c>
      <c r="K277" s="12">
        <f t="shared" si="65"/>
        <v>0.53661999999999999</v>
      </c>
      <c r="L277" s="12">
        <f t="shared" si="65"/>
        <v>0.53681000000000001</v>
      </c>
      <c r="M277" s="137">
        <v>0.53700000000000003</v>
      </c>
      <c r="N277" s="164">
        <f t="shared" si="65"/>
        <v>0.53719000000000006</v>
      </c>
      <c r="O277" s="12">
        <f t="shared" si="61"/>
        <v>0.53737999999999997</v>
      </c>
      <c r="P277" s="12">
        <f t="shared" si="61"/>
        <v>0.53756999999999999</v>
      </c>
      <c r="Q277" s="127">
        <f t="shared" si="61"/>
        <v>0.53776000000000002</v>
      </c>
      <c r="R277" s="132">
        <f t="shared" si="66"/>
        <v>0.53795000000000004</v>
      </c>
      <c r="S277" s="130"/>
      <c r="T277" s="11">
        <f t="shared" si="67"/>
        <v>0.53700000000000003</v>
      </c>
      <c r="U277" s="11">
        <f t="shared" si="62"/>
        <v>0.53795000000000004</v>
      </c>
      <c r="V277" s="90" t="s">
        <v>44</v>
      </c>
      <c r="W277" s="91">
        <f>INDEX(LINEST(T277:U277,(T$44:U$44)^{1}),1)</f>
        <v>1.9000000000000126E-4</v>
      </c>
      <c r="X277" s="91">
        <f>INDEX(LINEST(T277:U277,(T$44:U$44)^{1}),1,2)</f>
        <v>0.53681000000000001</v>
      </c>
    </row>
    <row r="278" spans="1:25" x14ac:dyDescent="0.25">
      <c r="A278" s="83"/>
      <c r="B278" s="4">
        <v>70</v>
      </c>
      <c r="C278" s="5">
        <v>0.72</v>
      </c>
      <c r="D278" s="5">
        <f t="shared" si="63"/>
        <v>0.7</v>
      </c>
      <c r="E278" s="11">
        <f t="shared" si="64"/>
        <v>1.0933085501858735</v>
      </c>
      <c r="F278" s="52">
        <f>M278/M278</f>
        <v>1</v>
      </c>
      <c r="G278" s="53">
        <f t="shared" si="65"/>
        <v>0.53806000000000009</v>
      </c>
      <c r="H278" s="53">
        <f t="shared" si="65"/>
        <v>0.53805000000000014</v>
      </c>
      <c r="I278" s="53">
        <f t="shared" si="65"/>
        <v>0.53804000000000007</v>
      </c>
      <c r="J278" s="53">
        <f t="shared" si="65"/>
        <v>0.53803000000000012</v>
      </c>
      <c r="K278" s="53">
        <f t="shared" si="65"/>
        <v>0.53802000000000005</v>
      </c>
      <c r="L278" s="53">
        <f t="shared" si="65"/>
        <v>0.5380100000000001</v>
      </c>
      <c r="M278" s="139">
        <v>0.53800000000000003</v>
      </c>
      <c r="N278" s="166">
        <f>($W278*N$44)+$X278</f>
        <v>0.53799000000000008</v>
      </c>
      <c r="O278" s="53">
        <f t="shared" si="61"/>
        <v>0.53798000000000012</v>
      </c>
      <c r="P278" s="53">
        <f t="shared" si="61"/>
        <v>0.53797000000000006</v>
      </c>
      <c r="Q278" s="129">
        <f t="shared" si="61"/>
        <v>0.5379600000000001</v>
      </c>
      <c r="R278" s="134">
        <f t="shared" si="66"/>
        <v>0.53795000000000004</v>
      </c>
      <c r="T278" s="11">
        <f>M278</f>
        <v>0.53800000000000003</v>
      </c>
      <c r="U278" s="11">
        <f>R278</f>
        <v>0.53795000000000004</v>
      </c>
      <c r="V278" s="90" t="s">
        <v>44</v>
      </c>
      <c r="W278" s="91">
        <f>INDEX(LINEST(T278:U278,(T$44:U$44)^{1}),1)</f>
        <v>-9.999999999998898E-6</v>
      </c>
      <c r="X278" s="91">
        <f>INDEX(LINEST(T278:U278,(T$44:U$44)^{1}),1,2)</f>
        <v>0.5380100000000001</v>
      </c>
    </row>
    <row r="279" spans="1:25" x14ac:dyDescent="0.25">
      <c r="A279" s="83"/>
      <c r="M279">
        <f>M278/M267</f>
        <v>1.8551724137931036</v>
      </c>
      <c r="T279" s="1"/>
      <c r="U279" s="1"/>
      <c r="V279" s="90"/>
    </row>
    <row r="280" spans="1:25" ht="15.75" x14ac:dyDescent="0.25">
      <c r="D280" s="20" t="s">
        <v>78</v>
      </c>
      <c r="M280" s="170">
        <f>M278/M273</f>
        <v>1.0549019607843138</v>
      </c>
      <c r="T280" s="189" t="s">
        <v>131</v>
      </c>
      <c r="U280" s="1"/>
      <c r="V280" s="90"/>
    </row>
    <row r="281" spans="1:25" ht="15.75" x14ac:dyDescent="0.25">
      <c r="D281" s="20" t="s">
        <v>99</v>
      </c>
      <c r="S281" s="189"/>
      <c r="T281" s="189" t="s">
        <v>132</v>
      </c>
      <c r="U281" s="1"/>
      <c r="V281" s="90"/>
    </row>
    <row r="282" spans="1:25" ht="16.5" thickBot="1" x14ac:dyDescent="0.3">
      <c r="D282" s="20" t="s">
        <v>100</v>
      </c>
      <c r="S282" s="189"/>
      <c r="T282" s="1"/>
    </row>
    <row r="283" spans="1:25" x14ac:dyDescent="0.25">
      <c r="D283" s="174" t="s">
        <v>126</v>
      </c>
      <c r="T283" s="1"/>
      <c r="V283" s="79" t="s">
        <v>136</v>
      </c>
      <c r="W283" s="81"/>
      <c r="X283" s="81"/>
      <c r="Y283" s="82"/>
    </row>
    <row r="284" spans="1:25" x14ac:dyDescent="0.25">
      <c r="T284" s="1"/>
      <c r="U284" s="7"/>
      <c r="V284" s="83"/>
      <c r="X284" s="1" t="s">
        <v>113</v>
      </c>
      <c r="Y284" s="84"/>
    </row>
    <row r="285" spans="1:25" x14ac:dyDescent="0.25">
      <c r="B285" s="188" t="s">
        <v>130</v>
      </c>
      <c r="H285" s="4" t="s">
        <v>9</v>
      </c>
      <c r="I285" s="190" t="s">
        <v>134</v>
      </c>
      <c r="J285" s="190"/>
      <c r="K285" s="190"/>
      <c r="L285" s="42"/>
      <c r="M285" s="42"/>
      <c r="N285" s="42" t="s">
        <v>166</v>
      </c>
      <c r="O285" s="204" t="s">
        <v>167</v>
      </c>
      <c r="P285" s="42" t="s">
        <v>176</v>
      </c>
      <c r="Q285" s="42" t="s">
        <v>177</v>
      </c>
      <c r="T285" s="122" t="s">
        <v>133</v>
      </c>
      <c r="V285" s="195" t="s">
        <v>173</v>
      </c>
      <c r="W285">
        <f>0.55/0.7</f>
        <v>0.78571428571428581</v>
      </c>
      <c r="X285" s="1" t="s">
        <v>103</v>
      </c>
      <c r="Y285" s="191" t="s">
        <v>112</v>
      </c>
    </row>
    <row r="286" spans="1:25" x14ac:dyDescent="0.25">
      <c r="B286" s="174" t="s">
        <v>135</v>
      </c>
      <c r="H286" s="4">
        <v>1</v>
      </c>
      <c r="J286" s="63"/>
      <c r="K286" s="63"/>
      <c r="L286" s="63"/>
      <c r="M286" s="219">
        <f t="shared" ref="M286:Q297" si="68">(M267*$D$122*SQRT(4*$D$124*$B$128/32.2)/12)*$H286/2</f>
        <v>0.89753368651005117</v>
      </c>
      <c r="N286" s="63">
        <f t="shared" si="68"/>
        <v>1.0510119469032697</v>
      </c>
      <c r="O286" s="63">
        <f t="shared" si="68"/>
        <v>1.2044902072964885</v>
      </c>
      <c r="P286" s="63">
        <f t="shared" si="68"/>
        <v>1.3579684676897072</v>
      </c>
      <c r="Q286" s="63">
        <f t="shared" si="68"/>
        <v>1.5114467280829258</v>
      </c>
      <c r="R286" s="63"/>
      <c r="T286" s="205">
        <f>'curve_rzeta_targetnu_add_2.5'!N278</f>
        <v>1.0977431304077079</v>
      </c>
      <c r="V286" s="83"/>
      <c r="W286" s="153">
        <f>X286*$W$285</f>
        <v>0.94285714285714295</v>
      </c>
      <c r="X286" s="149">
        <v>1.2</v>
      </c>
      <c r="Y286" s="192">
        <f>T286/W286</f>
        <v>1.164273017099084</v>
      </c>
    </row>
    <row r="287" spans="1:25" x14ac:dyDescent="0.25">
      <c r="B287" s="174" t="s">
        <v>143</v>
      </c>
      <c r="H287" s="4">
        <v>2</v>
      </c>
      <c r="J287" s="58"/>
      <c r="K287" s="58"/>
      <c r="L287" s="58"/>
      <c r="M287" s="220">
        <f t="shared" si="68"/>
        <v>2.2283594975421956</v>
      </c>
      <c r="N287" s="58">
        <f t="shared" si="68"/>
        <v>2.4486575934242145</v>
      </c>
      <c r="O287" s="58">
        <f t="shared" si="68"/>
        <v>2.6689556893062334</v>
      </c>
      <c r="P287" s="58">
        <f t="shared" si="68"/>
        <v>2.8892537851882523</v>
      </c>
      <c r="Q287" s="58">
        <f t="shared" si="68"/>
        <v>3.1095518810702707</v>
      </c>
      <c r="R287" s="58"/>
      <c r="T287" s="11">
        <f>'curve_rzeta_targetnu_add_2.5'!N279</f>
        <v>0.76386647425072263</v>
      </c>
      <c r="U287" s="115"/>
      <c r="V287" s="83"/>
      <c r="W287" s="154">
        <f t="shared" ref="W287:W297" si="69">X287*$W$285</f>
        <v>0.66785714285714293</v>
      </c>
      <c r="X287" s="150">
        <v>0.85</v>
      </c>
      <c r="Y287" s="192">
        <f t="shared" ref="Y287:Y291" si="70">T287/W287</f>
        <v>1.1437572876481408</v>
      </c>
    </row>
    <row r="288" spans="1:25" x14ac:dyDescent="0.25">
      <c r="H288" s="4">
        <v>3</v>
      </c>
      <c r="J288" s="67"/>
      <c r="K288" s="67"/>
      <c r="L288" s="67"/>
      <c r="M288" s="221">
        <f t="shared" si="68"/>
        <v>3.7139324959036601</v>
      </c>
      <c r="N288" s="67">
        <f t="shared" si="68"/>
        <v>3.970100989808615</v>
      </c>
      <c r="O288" s="67">
        <f t="shared" si="68"/>
        <v>4.2262694837135699</v>
      </c>
      <c r="P288" s="67">
        <f t="shared" si="68"/>
        <v>4.4824379776185248</v>
      </c>
      <c r="Q288" s="67">
        <f t="shared" si="68"/>
        <v>4.7386064715234797</v>
      </c>
      <c r="R288" s="67"/>
      <c r="T288" s="205">
        <f>'curve_rzeta_targetnu_add_2.5'!N280</f>
        <v>0.66924052755086483</v>
      </c>
      <c r="U288" s="115"/>
      <c r="V288" s="83"/>
      <c r="W288" s="157">
        <f t="shared" si="69"/>
        <v>0.58928571428571441</v>
      </c>
      <c r="X288" s="158">
        <v>0.75</v>
      </c>
      <c r="Y288" s="192">
        <f t="shared" si="70"/>
        <v>1.135680895237831</v>
      </c>
    </row>
    <row r="289" spans="1:25" x14ac:dyDescent="0.25">
      <c r="H289" s="4">
        <v>4</v>
      </c>
      <c r="J289" s="58"/>
      <c r="K289" s="58"/>
      <c r="L289" s="58"/>
      <c r="M289" s="220">
        <f t="shared" si="68"/>
        <v>5.385202119060307</v>
      </c>
      <c r="N289" s="58">
        <f t="shared" si="68"/>
        <v>5.6401016860291611</v>
      </c>
      <c r="O289" s="58">
        <f t="shared" si="68"/>
        <v>5.8950012529980143</v>
      </c>
      <c r="P289" s="58">
        <f t="shared" si="68"/>
        <v>6.1499008199668701</v>
      </c>
      <c r="Q289" s="58">
        <f t="shared" si="68"/>
        <v>6.4048003869357251</v>
      </c>
      <c r="R289" s="58"/>
      <c r="T289" s="11">
        <f>'curve_rzeta_targetnu_add_2.5'!N281</f>
        <v>0.63692719901815931</v>
      </c>
      <c r="U289" s="115"/>
      <c r="V289" s="83"/>
      <c r="W289" s="154">
        <f t="shared" si="69"/>
        <v>0.56571428571428573</v>
      </c>
      <c r="X289" s="150">
        <v>0.72</v>
      </c>
      <c r="Y289" s="192">
        <f t="shared" si="70"/>
        <v>1.1258814124058372</v>
      </c>
    </row>
    <row r="290" spans="1:25" x14ac:dyDescent="0.25">
      <c r="H290" s="4">
        <v>5</v>
      </c>
      <c r="J290" s="58"/>
      <c r="K290" s="58"/>
      <c r="L290" s="58"/>
      <c r="M290" s="220">
        <f t="shared" si="68"/>
        <v>7.0409970234840227</v>
      </c>
      <c r="N290" s="58">
        <f t="shared" si="68"/>
        <v>7.2977226072633616</v>
      </c>
      <c r="O290" s="58">
        <f t="shared" si="68"/>
        <v>7.5544481910427033</v>
      </c>
      <c r="P290" s="58">
        <f t="shared" si="68"/>
        <v>7.8111737748220422</v>
      </c>
      <c r="Q290" s="58">
        <f t="shared" si="68"/>
        <v>8.0678993586013839</v>
      </c>
      <c r="R290" s="58"/>
      <c r="T290" s="11">
        <f>'curve_rzeta_targetnu_add_2.5'!N282</f>
        <v>0.61653922557738783</v>
      </c>
      <c r="U290" s="115"/>
      <c r="V290" s="83"/>
      <c r="W290" s="154">
        <f t="shared" si="69"/>
        <v>0.55785714285714294</v>
      </c>
      <c r="X290" s="150">
        <v>0.71</v>
      </c>
      <c r="Y290" s="192">
        <f t="shared" si="70"/>
        <v>1.10519195365985</v>
      </c>
    </row>
    <row r="291" spans="1:25" x14ac:dyDescent="0.25">
      <c r="H291" s="4">
        <v>10</v>
      </c>
      <c r="J291" s="67"/>
      <c r="K291" s="67"/>
      <c r="L291" s="67"/>
      <c r="M291" s="221">
        <f t="shared" si="68"/>
        <v>14.824780546148775</v>
      </c>
      <c r="N291" s="67">
        <f t="shared" si="68"/>
        <v>15.189674413871311</v>
      </c>
      <c r="O291" s="67">
        <f t="shared" si="68"/>
        <v>15.554568281593848</v>
      </c>
      <c r="P291" s="67">
        <f t="shared" si="68"/>
        <v>15.919462149316379</v>
      </c>
      <c r="Q291" s="67">
        <f t="shared" si="68"/>
        <v>16.28435601703891</v>
      </c>
      <c r="R291" s="67"/>
      <c r="T291" s="205">
        <f>'curve_rzeta_targetnu_add_2.5'!N283</f>
        <v>0.55976365755747304</v>
      </c>
      <c r="U291" s="115"/>
      <c r="V291" s="83"/>
      <c r="W291" s="157">
        <f t="shared" si="69"/>
        <v>0.55000000000000004</v>
      </c>
      <c r="X291" s="158">
        <v>0.7</v>
      </c>
      <c r="Y291" s="192">
        <f t="shared" si="70"/>
        <v>1.0177521046499509</v>
      </c>
    </row>
    <row r="292" spans="1:25" x14ac:dyDescent="0.25">
      <c r="H292" s="4">
        <v>20</v>
      </c>
      <c r="J292" s="58"/>
      <c r="K292" s="58"/>
      <c r="L292" s="58"/>
      <c r="M292" s="220">
        <f t="shared" si="68"/>
        <v>31.568426215181109</v>
      </c>
      <c r="N292" s="58">
        <f t="shared" si="68"/>
        <v>31.914440926049465</v>
      </c>
      <c r="O292" s="58">
        <f t="shared" si="68"/>
        <v>32.260455636917825</v>
      </c>
      <c r="P292" s="58">
        <f t="shared" si="68"/>
        <v>32.606470347786185</v>
      </c>
      <c r="Q292" s="58">
        <f t="shared" si="68"/>
        <v>32.952485058654538</v>
      </c>
      <c r="R292" s="58"/>
      <c r="T292" s="11">
        <f>'curve_rzeta_targetnu_add_2.5'!N284</f>
        <v>0.55037542364933201</v>
      </c>
      <c r="U292" s="115"/>
      <c r="V292" s="83"/>
      <c r="W292" s="154">
        <f t="shared" si="69"/>
        <v>0.55000000000000004</v>
      </c>
      <c r="X292" s="150">
        <v>0.7</v>
      </c>
      <c r="Y292" s="84"/>
    </row>
    <row r="293" spans="1:25" x14ac:dyDescent="0.25">
      <c r="H293" s="4">
        <v>30</v>
      </c>
      <c r="J293" s="58"/>
      <c r="K293" s="58"/>
      <c r="L293" s="58"/>
      <c r="M293" s="220">
        <f t="shared" si="68"/>
        <v>48.559667383940351</v>
      </c>
      <c r="N293" s="58">
        <f t="shared" si="68"/>
        <v>48.837283838009142</v>
      </c>
      <c r="O293" s="58">
        <f t="shared" si="68"/>
        <v>49.114900292077948</v>
      </c>
      <c r="P293" s="58">
        <f t="shared" si="68"/>
        <v>49.39251674614674</v>
      </c>
      <c r="Q293" s="58">
        <f t="shared" si="68"/>
        <v>49.670133200215552</v>
      </c>
      <c r="R293" s="58"/>
      <c r="T293" s="11">
        <f>'curve_rzeta_targetnu_add_2.5'!N285</f>
        <v>0.54991261586968021</v>
      </c>
      <c r="U293" s="115"/>
      <c r="V293" s="83"/>
      <c r="W293" s="154">
        <f t="shared" si="69"/>
        <v>0.55000000000000004</v>
      </c>
      <c r="X293" s="150">
        <v>0.7</v>
      </c>
      <c r="Y293" s="84"/>
    </row>
    <row r="294" spans="1:25" x14ac:dyDescent="0.25">
      <c r="H294" s="4">
        <v>40</v>
      </c>
      <c r="J294" s="58"/>
      <c r="K294" s="58"/>
      <c r="L294" s="58"/>
      <c r="M294" s="220">
        <f t="shared" si="68"/>
        <v>65.612807427631324</v>
      </c>
      <c r="N294" s="58">
        <f t="shared" si="68"/>
        <v>65.809645849914219</v>
      </c>
      <c r="O294" s="58">
        <f t="shared" si="68"/>
        <v>66.006484272197127</v>
      </c>
      <c r="P294" s="58">
        <f t="shared" si="68"/>
        <v>66.203322694480022</v>
      </c>
      <c r="Q294" s="58">
        <f t="shared" si="68"/>
        <v>66.400161116762902</v>
      </c>
      <c r="R294" s="58"/>
      <c r="T294" s="11">
        <f>'curve_rzeta_targetnu_add_2.5'!N286</f>
        <v>0.55018120014042859</v>
      </c>
      <c r="U294" s="115"/>
      <c r="V294" s="83"/>
      <c r="W294" s="154">
        <f t="shared" si="69"/>
        <v>0.55000000000000004</v>
      </c>
      <c r="X294" s="150">
        <v>0.7</v>
      </c>
      <c r="Y294" s="84"/>
    </row>
    <row r="295" spans="1:25" x14ac:dyDescent="0.25">
      <c r="H295" s="4">
        <v>50</v>
      </c>
      <c r="J295" s="58"/>
      <c r="K295" s="58"/>
      <c r="L295" s="58"/>
      <c r="M295" s="220">
        <f t="shared" si="68"/>
        <v>82.634998033856419</v>
      </c>
      <c r="N295" s="58">
        <f t="shared" si="68"/>
        <v>82.75724831184661</v>
      </c>
      <c r="O295" s="58">
        <f t="shared" si="68"/>
        <v>82.879498589836771</v>
      </c>
      <c r="P295" s="58">
        <f t="shared" si="68"/>
        <v>83.001748867826933</v>
      </c>
      <c r="Q295" s="58">
        <f t="shared" si="68"/>
        <v>83.123999145817081</v>
      </c>
      <c r="R295" s="58"/>
      <c r="T295" s="11">
        <f>'curve_rzeta_targetnu_add_2.5'!N287</f>
        <v>0.55014235543864776</v>
      </c>
      <c r="V295" s="83"/>
      <c r="W295" s="154">
        <f t="shared" si="69"/>
        <v>0.55000000000000004</v>
      </c>
      <c r="X295" s="150">
        <v>0.7</v>
      </c>
      <c r="Y295" s="84"/>
    </row>
    <row r="296" spans="1:25" x14ac:dyDescent="0.25">
      <c r="H296" s="4">
        <v>60</v>
      </c>
      <c r="J296" s="58"/>
      <c r="K296" s="58"/>
      <c r="L296" s="58"/>
      <c r="M296" s="220">
        <f t="shared" si="68"/>
        <v>99.719087515013285</v>
      </c>
      <c r="N296" s="58">
        <f t="shared" si="68"/>
        <v>99.754369873724343</v>
      </c>
      <c r="O296" s="58">
        <f t="shared" si="68"/>
        <v>99.789652232435415</v>
      </c>
      <c r="P296" s="58">
        <f t="shared" si="68"/>
        <v>99.82493459114653</v>
      </c>
      <c r="Q296" s="58">
        <f t="shared" si="68"/>
        <v>99.860216949857602</v>
      </c>
      <c r="R296" s="58"/>
      <c r="T296" s="11">
        <f>'curve_rzeta_targetnu_add_2.5'!N288</f>
        <v>0.55044978441117687</v>
      </c>
      <c r="V296" s="83"/>
      <c r="W296" s="154">
        <f t="shared" si="69"/>
        <v>0.55000000000000004</v>
      </c>
      <c r="X296" s="150">
        <v>0.7</v>
      </c>
      <c r="Y296" s="84"/>
    </row>
    <row r="297" spans="1:25" ht="15.75" thickBot="1" x14ac:dyDescent="0.3">
      <c r="H297" s="4">
        <v>70</v>
      </c>
      <c r="J297" s="67"/>
      <c r="K297" s="67"/>
      <c r="L297" s="67"/>
      <c r="M297" s="221">
        <f t="shared" si="68"/>
        <v>116.55558149644321</v>
      </c>
      <c r="N297" s="67">
        <f t="shared" si="68"/>
        <v>116.55341503582061</v>
      </c>
      <c r="O297" s="67">
        <f t="shared" si="68"/>
        <v>116.551248575198</v>
      </c>
      <c r="P297" s="67">
        <f t="shared" si="68"/>
        <v>116.54908211457537</v>
      </c>
      <c r="Q297" s="67">
        <f t="shared" si="68"/>
        <v>116.54691565395277</v>
      </c>
      <c r="R297" s="67"/>
      <c r="T297" s="11">
        <f>'curve_rzeta_targetnu_add_2.5'!N289</f>
        <v>0.54952654645309951</v>
      </c>
      <c r="V297" s="93"/>
      <c r="W297" s="193">
        <f t="shared" si="69"/>
        <v>0.55000000000000004</v>
      </c>
      <c r="X297" s="194">
        <v>0.7</v>
      </c>
      <c r="Y297" s="97"/>
    </row>
    <row r="298" spans="1:25" x14ac:dyDescent="0.25">
      <c r="M298" s="114"/>
      <c r="S298" t="s">
        <v>137</v>
      </c>
    </row>
    <row r="300" spans="1:25" ht="15.75" thickBot="1" x14ac:dyDescent="0.3">
      <c r="A300" s="141"/>
      <c r="B300" s="141"/>
      <c r="C300" s="141"/>
      <c r="D300" s="141"/>
      <c r="E300" s="141"/>
      <c r="F300" s="141"/>
      <c r="G300" s="141"/>
      <c r="H300" s="141"/>
      <c r="I300" s="141"/>
      <c r="J300" s="141"/>
      <c r="K300" s="141"/>
      <c r="L300" s="141"/>
      <c r="M300" s="142"/>
      <c r="N300" s="141"/>
      <c r="O300" s="141"/>
      <c r="P300" s="141"/>
      <c r="Q300" s="141"/>
      <c r="R300" s="141"/>
      <c r="S300" s="141"/>
      <c r="T300" s="141"/>
      <c r="U300" s="141"/>
      <c r="V300" s="141"/>
      <c r="W300" s="141"/>
      <c r="X300" s="141"/>
      <c r="Y300" s="141"/>
    </row>
    <row r="301" spans="1:25" ht="15.75" thickTop="1" x14ac:dyDescent="0.25">
      <c r="M301" s="114"/>
    </row>
    <row r="302" spans="1:25" x14ac:dyDescent="0.25">
      <c r="M302" s="114"/>
    </row>
    <row r="303" spans="1:25" x14ac:dyDescent="0.25">
      <c r="A303" t="s">
        <v>159</v>
      </c>
      <c r="B303" s="207" t="s">
        <v>178</v>
      </c>
      <c r="M303" s="114"/>
    </row>
    <row r="304" spans="1:25" x14ac:dyDescent="0.25">
      <c r="B304" t="s">
        <v>74</v>
      </c>
    </row>
    <row r="305" spans="1:27" x14ac:dyDescent="0.25">
      <c r="B305" s="20" t="s">
        <v>108</v>
      </c>
      <c r="Z305">
        <v>0.75</v>
      </c>
    </row>
    <row r="306" spans="1:27" x14ac:dyDescent="0.25">
      <c r="A306" s="83"/>
      <c r="B306" s="20"/>
      <c r="Z306">
        <v>0.72899999999999998</v>
      </c>
      <c r="AA306">
        <f>Z306/Z305</f>
        <v>0.97199999999999998</v>
      </c>
    </row>
    <row r="307" spans="1:27" x14ac:dyDescent="0.25">
      <c r="A307" s="83"/>
      <c r="B307" s="135">
        <v>0.17150000000000001</v>
      </c>
      <c r="D307">
        <v>0.1363</v>
      </c>
      <c r="Z307">
        <v>0.70699999999999996</v>
      </c>
      <c r="AA307">
        <f t="shared" ref="AA307:AA309" si="71">Z307/Z306</f>
        <v>0.96982167352537718</v>
      </c>
    </row>
    <row r="308" spans="1:27" x14ac:dyDescent="0.25">
      <c r="A308" s="83"/>
      <c r="B308" s="85">
        <v>1</v>
      </c>
      <c r="Z308">
        <v>0.66900000000000004</v>
      </c>
      <c r="AA308">
        <f t="shared" si="71"/>
        <v>0.94625176803394639</v>
      </c>
    </row>
    <row r="309" spans="1:27" x14ac:dyDescent="0.25">
      <c r="A309" s="83">
        <v>1</v>
      </c>
      <c r="B309" s="86">
        <f>B308+B$307</f>
        <v>1.1715</v>
      </c>
      <c r="H309" s="7"/>
      <c r="L309" s="21"/>
      <c r="M309" s="31" t="s">
        <v>38</v>
      </c>
      <c r="N309" s="32">
        <f>B309</f>
        <v>1.1715</v>
      </c>
      <c r="O309" s="32">
        <f>B310</f>
        <v>1.343</v>
      </c>
      <c r="P309" s="32">
        <f>B311</f>
        <v>1.5145</v>
      </c>
      <c r="Q309" s="32">
        <f>B312</f>
        <v>1.6859999999999999</v>
      </c>
      <c r="R309" s="32">
        <f>B313</f>
        <v>1.8574999999999999</v>
      </c>
      <c r="S309" s="33"/>
      <c r="Z309">
        <v>0.63</v>
      </c>
      <c r="AA309">
        <f t="shared" si="71"/>
        <v>0.9417040358744394</v>
      </c>
    </row>
    <row r="310" spans="1:27" x14ac:dyDescent="0.25">
      <c r="A310" s="83">
        <v>2</v>
      </c>
      <c r="B310" s="86">
        <f t="shared" ref="B310:B314" si="72">B309+B$307</f>
        <v>1.343</v>
      </c>
      <c r="L310" s="34"/>
      <c r="M310" s="35">
        <v>1</v>
      </c>
      <c r="N310" s="35">
        <v>2</v>
      </c>
      <c r="O310" s="35">
        <v>3</v>
      </c>
      <c r="P310" s="35">
        <v>4</v>
      </c>
      <c r="Q310" s="35">
        <v>5</v>
      </c>
      <c r="R310" s="35">
        <v>6</v>
      </c>
      <c r="S310" s="36"/>
    </row>
    <row r="311" spans="1:27" x14ac:dyDescent="0.25">
      <c r="A311" s="83">
        <v>3</v>
      </c>
      <c r="B311" s="86">
        <f t="shared" si="72"/>
        <v>1.5145</v>
      </c>
      <c r="K311" s="2" t="s">
        <v>76</v>
      </c>
      <c r="L311" s="24"/>
      <c r="M311" s="124">
        <v>0.26300000000000001</v>
      </c>
      <c r="N311" s="11">
        <f>$M311*N309</f>
        <v>0.3081045</v>
      </c>
      <c r="O311" s="11">
        <f>$M311*O309</f>
        <v>0.353209</v>
      </c>
      <c r="P311" s="11">
        <f>$M311*P309</f>
        <v>0.39831349999999999</v>
      </c>
      <c r="Q311" s="11">
        <f>$M311*Q309</f>
        <v>0.44341799999999998</v>
      </c>
      <c r="R311" s="130">
        <f>$M311*R309</f>
        <v>0.48852250000000003</v>
      </c>
      <c r="S311" s="36" t="s">
        <v>39</v>
      </c>
      <c r="T311" s="140">
        <f>R311/M333</f>
        <v>1.0000460593654044</v>
      </c>
      <c r="U311" s="171">
        <f>B307/T311</f>
        <v>0.17149210118264768</v>
      </c>
    </row>
    <row r="312" spans="1:27" x14ac:dyDescent="0.25">
      <c r="A312" s="83">
        <v>4</v>
      </c>
      <c r="B312" s="86">
        <f t="shared" si="72"/>
        <v>1.6859999999999999</v>
      </c>
      <c r="L312" s="26"/>
      <c r="M312" s="38">
        <f t="shared" ref="M312:R312" si="73">M311</f>
        <v>0.26300000000000001</v>
      </c>
      <c r="N312" s="38">
        <f t="shared" si="73"/>
        <v>0.3081045</v>
      </c>
      <c r="O312" s="38">
        <f t="shared" si="73"/>
        <v>0.353209</v>
      </c>
      <c r="P312" s="38">
        <f t="shared" si="73"/>
        <v>0.39831349999999999</v>
      </c>
      <c r="Q312" s="38">
        <f t="shared" si="73"/>
        <v>0.44341799999999998</v>
      </c>
      <c r="R312" s="38">
        <f t="shared" si="73"/>
        <v>0.48852250000000003</v>
      </c>
      <c r="S312" s="39" t="s">
        <v>42</v>
      </c>
    </row>
    <row r="313" spans="1:27" x14ac:dyDescent="0.25">
      <c r="A313" s="83">
        <v>5</v>
      </c>
      <c r="B313" s="86">
        <f t="shared" si="72"/>
        <v>1.8574999999999999</v>
      </c>
    </row>
    <row r="314" spans="1:27" x14ac:dyDescent="0.25">
      <c r="A314" s="83">
        <v>6</v>
      </c>
      <c r="B314" s="86">
        <f t="shared" si="72"/>
        <v>2.0289999999999999</v>
      </c>
      <c r="D314" t="s">
        <v>72</v>
      </c>
      <c r="K314" s="18"/>
      <c r="L314" s="20" t="s">
        <v>154</v>
      </c>
    </row>
    <row r="315" spans="1:27" x14ac:dyDescent="0.25">
      <c r="A315" s="83"/>
      <c r="B315" s="86"/>
      <c r="F315" s="40" t="s">
        <v>101</v>
      </c>
      <c r="G315" s="22"/>
      <c r="H315" s="22"/>
      <c r="I315" s="22"/>
      <c r="J315" s="22"/>
      <c r="K315" s="22"/>
      <c r="L315" s="210" t="s">
        <v>119</v>
      </c>
      <c r="M315" s="167"/>
      <c r="N315" s="22"/>
      <c r="O315" s="211" t="s">
        <v>179</v>
      </c>
      <c r="P315" s="22"/>
      <c r="Q315" s="55" t="s">
        <v>45</v>
      </c>
      <c r="R315" s="23"/>
    </row>
    <row r="316" spans="1:27" x14ac:dyDescent="0.25">
      <c r="A316" s="83"/>
      <c r="B316" s="86"/>
      <c r="F316" s="183"/>
      <c r="L316" s="187" t="s">
        <v>123</v>
      </c>
      <c r="M316" s="184"/>
      <c r="O316" s="212"/>
      <c r="Q316" s="186"/>
      <c r="R316" s="25"/>
    </row>
    <row r="317" spans="1:27" x14ac:dyDescent="0.25">
      <c r="A317" s="83"/>
      <c r="B317" s="20"/>
      <c r="F317" s="24"/>
      <c r="L317" s="207" t="s">
        <v>124</v>
      </c>
      <c r="O317" s="24"/>
      <c r="R317" s="25"/>
    </row>
    <row r="318" spans="1:27" x14ac:dyDescent="0.25">
      <c r="A318" s="83"/>
      <c r="F318" s="41"/>
      <c r="G318" s="42"/>
      <c r="H318" s="42"/>
      <c r="I318" s="42"/>
      <c r="J318" s="42"/>
      <c r="K318" s="42"/>
      <c r="L318" s="42"/>
      <c r="M318" s="42"/>
      <c r="N318" s="42"/>
      <c r="O318" s="172" t="s">
        <v>185</v>
      </c>
      <c r="P318" s="42" t="s">
        <v>182</v>
      </c>
      <c r="Q318" s="42" t="s">
        <v>183</v>
      </c>
      <c r="R318" s="43" t="s">
        <v>184</v>
      </c>
    </row>
    <row r="319" spans="1:27" x14ac:dyDescent="0.25">
      <c r="A319" s="83"/>
      <c r="C319" s="73" t="s">
        <v>34</v>
      </c>
      <c r="F319" s="44"/>
      <c r="G319" s="4">
        <v>-5</v>
      </c>
      <c r="H319" s="4">
        <v>-4</v>
      </c>
      <c r="I319" s="4">
        <v>-3</v>
      </c>
      <c r="J319" s="4">
        <v>-2</v>
      </c>
      <c r="K319" s="4">
        <v>-1</v>
      </c>
      <c r="L319" s="4">
        <v>0</v>
      </c>
      <c r="M319" s="4">
        <v>1</v>
      </c>
      <c r="N319" s="4">
        <v>2</v>
      </c>
      <c r="O319" s="44">
        <v>3</v>
      </c>
      <c r="P319" s="4">
        <v>4</v>
      </c>
      <c r="Q319" s="4">
        <v>5</v>
      </c>
      <c r="R319" s="45">
        <v>6</v>
      </c>
      <c r="T319" s="4">
        <v>1</v>
      </c>
      <c r="U319" s="4">
        <v>6</v>
      </c>
    </row>
    <row r="320" spans="1:27" x14ac:dyDescent="0.25">
      <c r="A320" s="83"/>
      <c r="B320" s="4"/>
      <c r="C320" s="4" t="s">
        <v>10</v>
      </c>
      <c r="D320" s="87" t="s">
        <v>37</v>
      </c>
      <c r="E320" s="73"/>
      <c r="F320" s="24"/>
      <c r="N320" s="46" t="s">
        <v>43</v>
      </c>
      <c r="O320" s="24"/>
      <c r="R320" s="25"/>
      <c r="T320" t="s">
        <v>129</v>
      </c>
    </row>
    <row r="321" spans="1:24" x14ac:dyDescent="0.25">
      <c r="A321" s="83"/>
      <c r="B321" s="4" t="s">
        <v>9</v>
      </c>
      <c r="C321" s="88" t="s">
        <v>36</v>
      </c>
      <c r="D321" s="89">
        <v>-0.02</v>
      </c>
      <c r="E321" s="74"/>
      <c r="F321" s="24"/>
      <c r="G321" s="47"/>
      <c r="H321" s="47"/>
      <c r="I321" s="47"/>
      <c r="J321" s="47"/>
      <c r="K321" s="47"/>
      <c r="L321" s="47"/>
      <c r="M321" s="144">
        <f>M311</f>
        <v>0.26300000000000001</v>
      </c>
      <c r="N321" s="144">
        <f>N311</f>
        <v>0.3081045</v>
      </c>
      <c r="O321" s="213">
        <f t="shared" ref="O321:R321" si="74">O311</f>
        <v>0.353209</v>
      </c>
      <c r="P321" s="144">
        <f t="shared" si="74"/>
        <v>0.39831349999999999</v>
      </c>
      <c r="Q321" s="144">
        <f t="shared" si="74"/>
        <v>0.44341799999999998</v>
      </c>
      <c r="R321" s="145">
        <f t="shared" si="74"/>
        <v>0.48852250000000003</v>
      </c>
    </row>
    <row r="322" spans="1:24" x14ac:dyDescent="0.25">
      <c r="A322" s="83"/>
      <c r="B322" s="4">
        <v>1</v>
      </c>
      <c r="C322" s="6">
        <v>0.78</v>
      </c>
      <c r="D322" s="6">
        <f>C322+$D$101</f>
        <v>0.76</v>
      </c>
      <c r="E322" s="11">
        <f>M266/M322</f>
        <v>1.1153846153846152</v>
      </c>
      <c r="F322" s="49">
        <f t="shared" ref="F322:F332" si="75">M322/M323</f>
        <v>0.77611940298507465</v>
      </c>
      <c r="G322" s="13">
        <f>($W322*G$44)+$X322</f>
        <v>-1.4227000000000045E-2</v>
      </c>
      <c r="H322" s="13">
        <f t="shared" ref="H322:K322" si="76">($W322*H$44)+$X322</f>
        <v>3.1477499999999964E-2</v>
      </c>
      <c r="I322" s="13">
        <f t="shared" si="76"/>
        <v>7.7181999999999973E-2</v>
      </c>
      <c r="J322" s="13">
        <f t="shared" si="76"/>
        <v>0.12288649999999997</v>
      </c>
      <c r="K322" s="13">
        <f t="shared" si="76"/>
        <v>0.16859099999999996</v>
      </c>
      <c r="L322" s="13">
        <f>($W322*L$44)+$X322</f>
        <v>0.21429549999999997</v>
      </c>
      <c r="M322" s="136">
        <v>0.26</v>
      </c>
      <c r="N322" s="13">
        <f>($W322*N$44)+$X322</f>
        <v>0.30570449999999999</v>
      </c>
      <c r="O322" s="163">
        <f t="shared" ref="O322:Q333" si="77">($W322*O$44)+$X322</f>
        <v>0.35140899999999997</v>
      </c>
      <c r="P322" s="13">
        <f t="shared" si="77"/>
        <v>0.39711350000000001</v>
      </c>
      <c r="Q322" s="13">
        <f t="shared" si="77"/>
        <v>0.44281799999999999</v>
      </c>
      <c r="R322" s="131">
        <f>$R$311</f>
        <v>0.48852250000000003</v>
      </c>
      <c r="S322" s="130"/>
      <c r="T322" s="11">
        <f>M322</f>
        <v>0.26</v>
      </c>
      <c r="U322" s="11">
        <f t="shared" ref="U322:U332" si="78">R322</f>
        <v>0.48852250000000003</v>
      </c>
      <c r="V322" s="90" t="s">
        <v>44</v>
      </c>
      <c r="W322" s="91">
        <f>INDEX(LINEST(T322:U322,(T$44:U$44)^{1}),1)</f>
        <v>4.5704500000000002E-2</v>
      </c>
      <c r="X322" s="91">
        <f>INDEX(LINEST(T322:U322,(T$44:U$44)^{1}),1,2)</f>
        <v>0.21429549999999997</v>
      </c>
    </row>
    <row r="323" spans="1:24" x14ac:dyDescent="0.25">
      <c r="A323" s="83"/>
      <c r="B323" s="4">
        <v>2</v>
      </c>
      <c r="C323" s="1">
        <v>0.56999999999999995</v>
      </c>
      <c r="D323" s="1">
        <f t="shared" ref="D323:D333" si="79">C323+$D$101</f>
        <v>0.54999999999999993</v>
      </c>
      <c r="E323" s="11">
        <f t="shared" ref="E323:E333" si="80">M267/M323</f>
        <v>0.86567164179104461</v>
      </c>
      <c r="F323" s="49">
        <f t="shared" si="75"/>
        <v>0.89333333333333342</v>
      </c>
      <c r="G323" s="12">
        <f t="shared" ref="G323:N333" si="81">($W323*G$44)+$X323</f>
        <v>0.15077299999999999</v>
      </c>
      <c r="H323" s="12">
        <f t="shared" si="81"/>
        <v>0.18147749999999999</v>
      </c>
      <c r="I323" s="12">
        <f t="shared" si="81"/>
        <v>0.21218199999999998</v>
      </c>
      <c r="J323" s="12">
        <f t="shared" si="81"/>
        <v>0.24288650000000001</v>
      </c>
      <c r="K323" s="12">
        <f t="shared" si="81"/>
        <v>0.27359099999999997</v>
      </c>
      <c r="L323" s="12">
        <f t="shared" si="81"/>
        <v>0.3042955</v>
      </c>
      <c r="M323" s="137">
        <v>0.33500000000000002</v>
      </c>
      <c r="N323" s="12">
        <f t="shared" si="81"/>
        <v>0.36570449999999999</v>
      </c>
      <c r="O323" s="164">
        <f t="shared" si="77"/>
        <v>0.39640900000000001</v>
      </c>
      <c r="P323" s="12">
        <f t="shared" si="77"/>
        <v>0.42711350000000003</v>
      </c>
      <c r="Q323" s="12">
        <f t="shared" si="77"/>
        <v>0.457818</v>
      </c>
      <c r="R323" s="132">
        <f t="shared" ref="R323:R333" si="82">$R$311</f>
        <v>0.48852250000000003</v>
      </c>
      <c r="S323" s="130"/>
      <c r="T323" s="11">
        <f t="shared" ref="T323:T332" si="83">M323</f>
        <v>0.33500000000000002</v>
      </c>
      <c r="U323" s="11">
        <f t="shared" si="78"/>
        <v>0.48852250000000003</v>
      </c>
      <c r="V323" s="90" t="s">
        <v>44</v>
      </c>
      <c r="W323" s="91">
        <f>INDEX(LINEST(T323:U323,(T$44:U$44)^{1}),1)</f>
        <v>3.0704500000000003E-2</v>
      </c>
      <c r="X323" s="91">
        <f>INDEX(LINEST(T323:U323,(T$44:U$44)^{1}),1,2)</f>
        <v>0.3042955</v>
      </c>
    </row>
    <row r="324" spans="1:24" x14ac:dyDescent="0.25">
      <c r="A324" s="83"/>
      <c r="B324" s="4">
        <v>3</v>
      </c>
      <c r="C324" s="5">
        <v>0.54</v>
      </c>
      <c r="D324" s="5">
        <f t="shared" si="79"/>
        <v>0.52</v>
      </c>
      <c r="E324" s="11">
        <f t="shared" si="80"/>
        <v>0.96</v>
      </c>
      <c r="F324" s="49">
        <f t="shared" si="75"/>
        <v>0.9375</v>
      </c>
      <c r="G324" s="14">
        <f t="shared" si="81"/>
        <v>0.23877300000000001</v>
      </c>
      <c r="H324" s="14">
        <f t="shared" si="81"/>
        <v>0.26147750000000003</v>
      </c>
      <c r="I324" s="14">
        <f t="shared" si="81"/>
        <v>0.28418199999999999</v>
      </c>
      <c r="J324" s="14">
        <f t="shared" si="81"/>
        <v>0.30688650000000001</v>
      </c>
      <c r="K324" s="14">
        <f t="shared" si="81"/>
        <v>0.32959099999999997</v>
      </c>
      <c r="L324" s="14">
        <f t="shared" si="81"/>
        <v>0.35229549999999998</v>
      </c>
      <c r="M324" s="138">
        <v>0.375</v>
      </c>
      <c r="N324" s="14">
        <f t="shared" si="81"/>
        <v>0.39770449999999996</v>
      </c>
      <c r="O324" s="165">
        <f t="shared" si="77"/>
        <v>0.42040899999999998</v>
      </c>
      <c r="P324" s="14">
        <f t="shared" si="77"/>
        <v>0.44311349999999994</v>
      </c>
      <c r="Q324" s="14">
        <f t="shared" si="77"/>
        <v>0.46581799999999995</v>
      </c>
      <c r="R324" s="133">
        <f t="shared" si="82"/>
        <v>0.48852250000000003</v>
      </c>
      <c r="S324" s="130"/>
      <c r="T324" s="11">
        <f t="shared" si="83"/>
        <v>0.375</v>
      </c>
      <c r="U324" s="11">
        <f t="shared" si="78"/>
        <v>0.48852250000000003</v>
      </c>
      <c r="V324" s="90" t="s">
        <v>44</v>
      </c>
      <c r="W324" s="91">
        <f>INDEX(LINEST(T324:U324,(T$44:U$44)^{1}),1)</f>
        <v>2.2704499999999996E-2</v>
      </c>
      <c r="X324" s="91">
        <f>INDEX(LINEST(T324:U324,(T$44:U$44)^{1}),1,2)</f>
        <v>0.35229549999999998</v>
      </c>
    </row>
    <row r="325" spans="1:24" x14ac:dyDescent="0.25">
      <c r="A325" s="83"/>
      <c r="B325" s="4">
        <v>4</v>
      </c>
      <c r="C325" s="1">
        <v>0.53</v>
      </c>
      <c r="D325" s="1">
        <f t="shared" si="79"/>
        <v>0.51</v>
      </c>
      <c r="E325" s="11">
        <f t="shared" si="80"/>
        <v>1</v>
      </c>
      <c r="F325" s="49">
        <f t="shared" si="75"/>
        <v>0.96385542168674709</v>
      </c>
      <c r="G325" s="12">
        <f t="shared" si="81"/>
        <v>0.29377300000000006</v>
      </c>
      <c r="H325" s="12">
        <f t="shared" si="81"/>
        <v>0.31147750000000007</v>
      </c>
      <c r="I325" s="12">
        <f t="shared" si="81"/>
        <v>0.32918200000000009</v>
      </c>
      <c r="J325" s="12">
        <f t="shared" si="81"/>
        <v>0.34688650000000004</v>
      </c>
      <c r="K325" s="12">
        <f t="shared" si="81"/>
        <v>0.36459100000000005</v>
      </c>
      <c r="L325" s="12">
        <f t="shared" si="81"/>
        <v>0.38229550000000007</v>
      </c>
      <c r="M325" s="137">
        <v>0.4</v>
      </c>
      <c r="N325" s="12">
        <f t="shared" si="81"/>
        <v>0.41770450000000009</v>
      </c>
      <c r="O325" s="164">
        <f t="shared" si="77"/>
        <v>0.43540900000000005</v>
      </c>
      <c r="P325" s="12">
        <f t="shared" si="77"/>
        <v>0.45311350000000006</v>
      </c>
      <c r="Q325" s="12">
        <f t="shared" si="77"/>
        <v>0.47081800000000007</v>
      </c>
      <c r="R325" s="132">
        <f t="shared" si="82"/>
        <v>0.48852250000000003</v>
      </c>
      <c r="S325" s="130"/>
      <c r="T325" s="11">
        <f t="shared" si="83"/>
        <v>0.4</v>
      </c>
      <c r="U325" s="11">
        <f t="shared" si="78"/>
        <v>0.48852250000000003</v>
      </c>
      <c r="V325" s="90" t="s">
        <v>44</v>
      </c>
      <c r="W325" s="91">
        <f>INDEX(LINEST(T325:U325,(T$44:U$44)^{1}),1)</f>
        <v>1.7704500000000001E-2</v>
      </c>
      <c r="X325" s="91">
        <f>INDEX(LINEST(T325:U325,(T$44:U$44)^{1}),1,2)</f>
        <v>0.38229550000000007</v>
      </c>
    </row>
    <row r="326" spans="1:24" x14ac:dyDescent="0.25">
      <c r="A326" s="83"/>
      <c r="B326" s="4">
        <v>5</v>
      </c>
      <c r="C326" s="1">
        <v>0.56000000000000005</v>
      </c>
      <c r="D326" s="1">
        <f t="shared" si="79"/>
        <v>0.54</v>
      </c>
      <c r="E326" s="11">
        <f t="shared" si="80"/>
        <v>1.0481927710843375</v>
      </c>
      <c r="F326" s="49">
        <f t="shared" si="75"/>
        <v>0.93258426966292129</v>
      </c>
      <c r="G326" s="12">
        <f t="shared" si="81"/>
        <v>0.32677299999999992</v>
      </c>
      <c r="H326" s="12">
        <f t="shared" si="81"/>
        <v>0.34147749999999993</v>
      </c>
      <c r="I326" s="12">
        <f t="shared" si="81"/>
        <v>0.35618199999999994</v>
      </c>
      <c r="J326" s="12">
        <f t="shared" si="81"/>
        <v>0.37088649999999995</v>
      </c>
      <c r="K326" s="12">
        <f t="shared" si="81"/>
        <v>0.38559099999999996</v>
      </c>
      <c r="L326" s="12">
        <f t="shared" si="81"/>
        <v>0.40029549999999997</v>
      </c>
      <c r="M326" s="137">
        <v>0.41499999999999998</v>
      </c>
      <c r="N326" s="12">
        <f t="shared" si="81"/>
        <v>0.42970449999999999</v>
      </c>
      <c r="O326" s="164">
        <f t="shared" si="77"/>
        <v>0.444409</v>
      </c>
      <c r="P326" s="12">
        <f t="shared" si="77"/>
        <v>0.45911350000000001</v>
      </c>
      <c r="Q326" s="12">
        <f t="shared" si="77"/>
        <v>0.47381800000000002</v>
      </c>
      <c r="R326" s="132">
        <f t="shared" si="82"/>
        <v>0.48852250000000003</v>
      </c>
      <c r="S326" s="130"/>
      <c r="T326" s="11">
        <f t="shared" si="83"/>
        <v>0.41499999999999998</v>
      </c>
      <c r="U326" s="11">
        <f t="shared" si="78"/>
        <v>0.48852250000000003</v>
      </c>
      <c r="V326" s="90" t="s">
        <v>44</v>
      </c>
      <c r="W326" s="91">
        <f>INDEX(LINEST(T326:U326,(T$44:U$44)^{1}),1)</f>
        <v>1.4704500000000007E-2</v>
      </c>
      <c r="X326" s="91">
        <f>INDEX(LINEST(T326:U326,(T$44:U$44)^{1}),1,2)</f>
        <v>0.40029549999999997</v>
      </c>
    </row>
    <row r="327" spans="1:24" x14ac:dyDescent="0.25">
      <c r="A327" s="83"/>
      <c r="B327" s="4">
        <v>10</v>
      </c>
      <c r="C327" s="5">
        <v>0.64</v>
      </c>
      <c r="D327" s="5">
        <f t="shared" si="79"/>
        <v>0.62</v>
      </c>
      <c r="E327" s="11">
        <f t="shared" si="80"/>
        <v>1.0224719101123596</v>
      </c>
      <c r="F327" s="49">
        <f t="shared" si="75"/>
        <v>0.94882729211087424</v>
      </c>
      <c r="G327" s="14">
        <f t="shared" si="81"/>
        <v>0.39277299999999998</v>
      </c>
      <c r="H327" s="14">
        <f t="shared" si="81"/>
        <v>0.40147749999999999</v>
      </c>
      <c r="I327" s="14">
        <f t="shared" si="81"/>
        <v>0.41018199999999999</v>
      </c>
      <c r="J327" s="14">
        <f t="shared" si="81"/>
        <v>0.41888649999999999</v>
      </c>
      <c r="K327" s="14">
        <f>($W327*K$44)+$X327</f>
        <v>0.427591</v>
      </c>
      <c r="L327" s="14">
        <f t="shared" si="81"/>
        <v>0.4362955</v>
      </c>
      <c r="M327" s="138">
        <v>0.44500000000000001</v>
      </c>
      <c r="N327" s="14">
        <f>($W327*N$44)+$X327</f>
        <v>0.45370450000000001</v>
      </c>
      <c r="O327" s="165">
        <f t="shared" si="77"/>
        <v>0.46240900000000001</v>
      </c>
      <c r="P327" s="14">
        <f t="shared" si="77"/>
        <v>0.47111350000000002</v>
      </c>
      <c r="Q327" s="14">
        <f t="shared" si="77"/>
        <v>0.47981800000000002</v>
      </c>
      <c r="R327" s="133">
        <f t="shared" si="82"/>
        <v>0.48852250000000003</v>
      </c>
      <c r="S327" s="130"/>
      <c r="T327" s="11">
        <f t="shared" si="83"/>
        <v>0.44500000000000001</v>
      </c>
      <c r="U327" s="11">
        <f t="shared" si="78"/>
        <v>0.48852250000000003</v>
      </c>
      <c r="V327" s="90" t="s">
        <v>44</v>
      </c>
      <c r="W327" s="91">
        <f>INDEX(LINEST(T327:U327,(T$44:U$44)^{1}),1)</f>
        <v>8.7045000000000022E-3</v>
      </c>
      <c r="X327" s="91">
        <f>INDEX(LINEST(T327:U327,(T$44:U$44)^{1}),1,2)</f>
        <v>0.4362955</v>
      </c>
    </row>
    <row r="328" spans="1:24" x14ac:dyDescent="0.25">
      <c r="A328" s="83"/>
      <c r="B328" s="4">
        <v>20</v>
      </c>
      <c r="C328" s="1">
        <v>0.66</v>
      </c>
      <c r="D328" s="1">
        <f t="shared" si="79"/>
        <v>0.64</v>
      </c>
      <c r="E328" s="11">
        <f t="shared" si="80"/>
        <v>1.0213219616204692</v>
      </c>
      <c r="F328" s="49">
        <f t="shared" si="75"/>
        <v>0.98219895287958114</v>
      </c>
      <c r="G328" s="12">
        <f t="shared" si="81"/>
        <v>0.44557299999999994</v>
      </c>
      <c r="H328" s="12">
        <f t="shared" si="81"/>
        <v>0.44947749999999997</v>
      </c>
      <c r="I328" s="12">
        <f t="shared" si="81"/>
        <v>0.45338199999999995</v>
      </c>
      <c r="J328" s="12">
        <f t="shared" si="81"/>
        <v>0.45728649999999998</v>
      </c>
      <c r="K328" s="12">
        <f t="shared" si="81"/>
        <v>0.46119099999999996</v>
      </c>
      <c r="L328" s="12">
        <f t="shared" si="81"/>
        <v>0.4650955</v>
      </c>
      <c r="M328" s="137">
        <v>0.46899999999999997</v>
      </c>
      <c r="N328" s="12">
        <f t="shared" si="81"/>
        <v>0.47290450000000001</v>
      </c>
      <c r="O328" s="164">
        <f t="shared" si="77"/>
        <v>0.47680900000000004</v>
      </c>
      <c r="P328" s="12">
        <f t="shared" si="77"/>
        <v>0.48071350000000002</v>
      </c>
      <c r="Q328" s="12">
        <f t="shared" si="77"/>
        <v>0.48461800000000005</v>
      </c>
      <c r="R328" s="132">
        <f t="shared" si="82"/>
        <v>0.48852250000000003</v>
      </c>
      <c r="S328" s="130"/>
      <c r="T328" s="11">
        <f t="shared" si="83"/>
        <v>0.46899999999999997</v>
      </c>
      <c r="U328" s="11">
        <f t="shared" si="78"/>
        <v>0.48852250000000003</v>
      </c>
      <c r="V328" s="90" t="s">
        <v>44</v>
      </c>
      <c r="W328" s="91">
        <f>INDEX(LINEST(T328:U328,(T$44:U$44)^{1}),1)</f>
        <v>3.9045000000000108E-3</v>
      </c>
      <c r="X328" s="91">
        <f>INDEX(LINEST(T328:U328,(T$44:U$44)^{1}),1,2)</f>
        <v>0.4650955</v>
      </c>
    </row>
    <row r="329" spans="1:24" x14ac:dyDescent="0.25">
      <c r="A329" s="83"/>
      <c r="B329" s="4">
        <v>30</v>
      </c>
      <c r="C329" s="1">
        <v>0.68</v>
      </c>
      <c r="D329" s="1">
        <f t="shared" si="79"/>
        <v>0.66</v>
      </c>
      <c r="E329" s="11">
        <f t="shared" si="80"/>
        <v>1.0680628272251309</v>
      </c>
      <c r="F329" s="49">
        <f t="shared" si="75"/>
        <v>0.98657024793388426</v>
      </c>
      <c r="G329" s="12">
        <f t="shared" si="81"/>
        <v>0.46427299999999994</v>
      </c>
      <c r="H329" s="12">
        <f t="shared" si="81"/>
        <v>0.46647749999999993</v>
      </c>
      <c r="I329" s="12">
        <f t="shared" si="81"/>
        <v>0.46868199999999993</v>
      </c>
      <c r="J329" s="12">
        <f t="shared" si="81"/>
        <v>0.47088649999999999</v>
      </c>
      <c r="K329" s="12">
        <f t="shared" si="81"/>
        <v>0.47309099999999998</v>
      </c>
      <c r="L329" s="12">
        <f t="shared" si="81"/>
        <v>0.47529549999999998</v>
      </c>
      <c r="M329" s="137">
        <v>0.47749999999999998</v>
      </c>
      <c r="N329" s="12">
        <f t="shared" si="81"/>
        <v>0.47970449999999998</v>
      </c>
      <c r="O329" s="164">
        <f t="shared" si="77"/>
        <v>0.48190900000000003</v>
      </c>
      <c r="P329" s="12">
        <f t="shared" si="77"/>
        <v>0.48411350000000003</v>
      </c>
      <c r="Q329" s="12">
        <f t="shared" si="77"/>
        <v>0.48631800000000003</v>
      </c>
      <c r="R329" s="132">
        <f t="shared" si="82"/>
        <v>0.48852250000000003</v>
      </c>
      <c r="S329" s="130"/>
      <c r="T329" s="11">
        <f t="shared" si="83"/>
        <v>0.47749999999999998</v>
      </c>
      <c r="U329" s="11">
        <f t="shared" si="78"/>
        <v>0.48852250000000003</v>
      </c>
      <c r="V329" s="90" t="s">
        <v>44</v>
      </c>
      <c r="W329" s="91">
        <f>INDEX(LINEST(T329:U329,(T$44:U$44)^{1}),1)</f>
        <v>2.204500000000009E-3</v>
      </c>
      <c r="X329" s="91">
        <f>INDEX(LINEST(T329:U329,(T$44:U$44)^{1}),1,2)</f>
        <v>0.47529549999999998</v>
      </c>
    </row>
    <row r="330" spans="1:24" x14ac:dyDescent="0.25">
      <c r="A330" s="83"/>
      <c r="B330" s="4">
        <v>40</v>
      </c>
      <c r="C330" s="1">
        <v>0.69</v>
      </c>
      <c r="D330" s="1">
        <f t="shared" si="79"/>
        <v>0.66999999999999993</v>
      </c>
      <c r="E330" s="11">
        <f t="shared" si="80"/>
        <v>1.0805785123966942</v>
      </c>
      <c r="F330" s="49">
        <f t="shared" si="75"/>
        <v>0.99691040164778577</v>
      </c>
      <c r="G330" s="12">
        <f t="shared" si="81"/>
        <v>0.47857299999999992</v>
      </c>
      <c r="H330" s="12">
        <f t="shared" si="81"/>
        <v>0.47947749999999995</v>
      </c>
      <c r="I330" s="12">
        <f t="shared" si="81"/>
        <v>0.48038199999999992</v>
      </c>
      <c r="J330" s="12">
        <f t="shared" si="81"/>
        <v>0.48128649999999995</v>
      </c>
      <c r="K330" s="12">
        <f t="shared" si="81"/>
        <v>0.48219099999999993</v>
      </c>
      <c r="L330" s="12">
        <f t="shared" si="81"/>
        <v>0.48309549999999996</v>
      </c>
      <c r="M330" s="137">
        <v>0.48399999999999999</v>
      </c>
      <c r="N330" s="12">
        <f t="shared" si="81"/>
        <v>0.48490449999999996</v>
      </c>
      <c r="O330" s="164">
        <f t="shared" si="77"/>
        <v>0.48580899999999999</v>
      </c>
      <c r="P330" s="12">
        <f t="shared" si="77"/>
        <v>0.48671349999999997</v>
      </c>
      <c r="Q330" s="12">
        <f t="shared" si="77"/>
        <v>0.487618</v>
      </c>
      <c r="R330" s="132">
        <f t="shared" si="82"/>
        <v>0.48852250000000003</v>
      </c>
      <c r="S330" s="130"/>
      <c r="T330" s="11">
        <f t="shared" si="83"/>
        <v>0.48399999999999999</v>
      </c>
      <c r="U330" s="11">
        <f t="shared" si="78"/>
        <v>0.48852250000000003</v>
      </c>
      <c r="V330" s="90" t="s">
        <v>44</v>
      </c>
      <c r="W330" s="91">
        <f>INDEX(LINEST(T330:U330,(T$44:U$44)^{1}),1)</f>
        <v>9.0450000000000773E-4</v>
      </c>
      <c r="X330" s="91">
        <f>INDEX(LINEST(T330:U330,(T$44:U$44)^{1}),1,2)</f>
        <v>0.48309549999999996</v>
      </c>
    </row>
    <row r="331" spans="1:24" x14ac:dyDescent="0.25">
      <c r="A331" s="83"/>
      <c r="B331" s="4">
        <v>50</v>
      </c>
      <c r="C331" s="1">
        <v>0.71</v>
      </c>
      <c r="D331" s="1">
        <f t="shared" si="79"/>
        <v>0.69</v>
      </c>
      <c r="E331" s="11">
        <f t="shared" si="80"/>
        <v>1.0916580844490218</v>
      </c>
      <c r="F331" s="49">
        <f t="shared" si="75"/>
        <v>0.99691991786447642</v>
      </c>
      <c r="G331" s="12">
        <f t="shared" si="81"/>
        <v>0.48187299999999994</v>
      </c>
      <c r="H331" s="12">
        <f t="shared" si="81"/>
        <v>0.48247749999999995</v>
      </c>
      <c r="I331" s="12">
        <f t="shared" si="81"/>
        <v>0.48308199999999996</v>
      </c>
      <c r="J331" s="12">
        <f t="shared" si="81"/>
        <v>0.48368649999999996</v>
      </c>
      <c r="K331" s="12">
        <f t="shared" si="81"/>
        <v>0.48429099999999997</v>
      </c>
      <c r="L331" s="12">
        <f t="shared" si="81"/>
        <v>0.48489549999999998</v>
      </c>
      <c r="M331" s="137">
        <v>0.48549999999999999</v>
      </c>
      <c r="N331" s="12">
        <f t="shared" si="81"/>
        <v>0.48610449999999999</v>
      </c>
      <c r="O331" s="164">
        <f t="shared" si="77"/>
        <v>0.486709</v>
      </c>
      <c r="P331" s="12">
        <f t="shared" si="77"/>
        <v>0.48731350000000001</v>
      </c>
      <c r="Q331" s="12">
        <f t="shared" si="77"/>
        <v>0.48791800000000002</v>
      </c>
      <c r="R331" s="132">
        <f t="shared" si="82"/>
        <v>0.48852250000000003</v>
      </c>
      <c r="S331" s="130"/>
      <c r="T331" s="11">
        <f t="shared" si="83"/>
        <v>0.48549999999999999</v>
      </c>
      <c r="U331" s="11">
        <f t="shared" si="78"/>
        <v>0.48852250000000003</v>
      </c>
      <c r="V331" s="90" t="s">
        <v>44</v>
      </c>
      <c r="W331" s="91">
        <f>INDEX(LINEST(T331:U331,(T$44:U$44)^{1}),1)</f>
        <v>6.045000000000077E-4</v>
      </c>
      <c r="X331" s="91">
        <f>INDEX(LINEST(T331:U331,(T$44:U$44)^{1}),1,2)</f>
        <v>0.48489549999999998</v>
      </c>
    </row>
    <row r="332" spans="1:24" x14ac:dyDescent="0.25">
      <c r="A332" s="83"/>
      <c r="B332" s="4">
        <v>60</v>
      </c>
      <c r="C332" s="1">
        <v>0.72</v>
      </c>
      <c r="D332" s="1">
        <f t="shared" si="79"/>
        <v>0.7</v>
      </c>
      <c r="E332" s="11">
        <f t="shared" si="80"/>
        <v>1.0965092402464067</v>
      </c>
      <c r="F332" s="49">
        <f t="shared" si="75"/>
        <v>0.9969293756397134</v>
      </c>
      <c r="G332" s="12">
        <f t="shared" si="81"/>
        <v>0.48517299999999997</v>
      </c>
      <c r="H332" s="12">
        <f t="shared" si="81"/>
        <v>0.48547749999999995</v>
      </c>
      <c r="I332" s="12">
        <f t="shared" si="81"/>
        <v>0.48578199999999999</v>
      </c>
      <c r="J332" s="12">
        <f t="shared" si="81"/>
        <v>0.48608649999999998</v>
      </c>
      <c r="K332" s="12">
        <f t="shared" si="81"/>
        <v>0.48639100000000002</v>
      </c>
      <c r="L332" s="12">
        <f t="shared" si="81"/>
        <v>0.4866955</v>
      </c>
      <c r="M332" s="137">
        <v>0.48699999999999999</v>
      </c>
      <c r="N332" s="12">
        <f t="shared" si="81"/>
        <v>0.48730450000000003</v>
      </c>
      <c r="O332" s="164">
        <f t="shared" si="77"/>
        <v>0.48760900000000001</v>
      </c>
      <c r="P332" s="12">
        <f t="shared" si="77"/>
        <v>0.48791350000000006</v>
      </c>
      <c r="Q332" s="12">
        <f t="shared" si="77"/>
        <v>0.48821800000000004</v>
      </c>
      <c r="R332" s="132">
        <f t="shared" si="82"/>
        <v>0.48852250000000003</v>
      </c>
      <c r="S332" s="130"/>
      <c r="T332" s="11">
        <f t="shared" si="83"/>
        <v>0.48699999999999999</v>
      </c>
      <c r="U332" s="11">
        <f t="shared" si="78"/>
        <v>0.48852250000000003</v>
      </c>
      <c r="V332" s="90" t="s">
        <v>44</v>
      </c>
      <c r="W332" s="91">
        <f>INDEX(LINEST(T332:U332,(T$44:U$44)^{1}),1)</f>
        <v>3.0450000000000751E-4</v>
      </c>
      <c r="X332" s="91">
        <f>INDEX(LINEST(T332:U332,(T$44:U$44)^{1}),1,2)</f>
        <v>0.4866955</v>
      </c>
    </row>
    <row r="333" spans="1:24" x14ac:dyDescent="0.25">
      <c r="A333" s="83"/>
      <c r="B333" s="4">
        <v>70</v>
      </c>
      <c r="C333" s="5">
        <v>0.72</v>
      </c>
      <c r="D333" s="5">
        <f t="shared" si="79"/>
        <v>0.7</v>
      </c>
      <c r="E333" s="11">
        <f t="shared" si="80"/>
        <v>1.0992835209826</v>
      </c>
      <c r="F333" s="52">
        <f>M333/M333</f>
        <v>1</v>
      </c>
      <c r="G333" s="53">
        <f t="shared" si="81"/>
        <v>0.48847299999999994</v>
      </c>
      <c r="H333" s="53">
        <f t="shared" si="81"/>
        <v>0.48847749999999995</v>
      </c>
      <c r="I333" s="53">
        <f t="shared" si="81"/>
        <v>0.48848199999999997</v>
      </c>
      <c r="J333" s="53">
        <f t="shared" si="81"/>
        <v>0.48848649999999993</v>
      </c>
      <c r="K333" s="53">
        <f t="shared" si="81"/>
        <v>0.48849099999999995</v>
      </c>
      <c r="L333" s="53">
        <f t="shared" si="81"/>
        <v>0.48849549999999997</v>
      </c>
      <c r="M333" s="139">
        <v>0.48849999999999999</v>
      </c>
      <c r="N333" s="53">
        <f>($W333*N$44)+$X333</f>
        <v>0.48850450000000001</v>
      </c>
      <c r="O333" s="166">
        <f t="shared" si="77"/>
        <v>0.48850899999999997</v>
      </c>
      <c r="P333" s="53">
        <f t="shared" si="77"/>
        <v>0.48851349999999999</v>
      </c>
      <c r="Q333" s="53">
        <f t="shared" si="77"/>
        <v>0.48851800000000001</v>
      </c>
      <c r="R333" s="134">
        <f t="shared" si="82"/>
        <v>0.48852250000000003</v>
      </c>
      <c r="T333" s="11">
        <f>M333</f>
        <v>0.48849999999999999</v>
      </c>
      <c r="U333" s="11">
        <f>R333</f>
        <v>0.48852250000000003</v>
      </c>
      <c r="V333" s="90" t="s">
        <v>44</v>
      </c>
      <c r="W333" s="91">
        <f>INDEX(LINEST(T333:U333,(T$44:U$44)^{1}),1)</f>
        <v>4.5000000000072753E-6</v>
      </c>
      <c r="X333" s="91">
        <f>INDEX(LINEST(T333:U333,(T$44:U$44)^{1}),1,2)</f>
        <v>0.48849549999999997</v>
      </c>
    </row>
    <row r="334" spans="1:24" x14ac:dyDescent="0.25">
      <c r="A334" s="83"/>
      <c r="M334">
        <f>M333/M322</f>
        <v>1.8788461538461538</v>
      </c>
      <c r="T334" s="1"/>
      <c r="U334" s="1"/>
      <c r="V334" s="90"/>
    </row>
    <row r="335" spans="1:24" ht="15.75" x14ac:dyDescent="0.25">
      <c r="D335" s="20" t="s">
        <v>78</v>
      </c>
      <c r="M335" s="170">
        <f>M333/M328</f>
        <v>1.0415778251599148</v>
      </c>
      <c r="T335" s="189" t="s">
        <v>131</v>
      </c>
      <c r="U335" s="1"/>
      <c r="V335" s="90"/>
    </row>
    <row r="336" spans="1:24" ht="15.75" x14ac:dyDescent="0.25">
      <c r="D336" s="20" t="s">
        <v>99</v>
      </c>
      <c r="S336" s="189"/>
      <c r="T336" s="189" t="s">
        <v>132</v>
      </c>
      <c r="U336" s="1"/>
      <c r="V336" s="90"/>
    </row>
    <row r="337" spans="2:25" ht="16.5" thickBot="1" x14ac:dyDescent="0.3">
      <c r="D337" s="20" t="s">
        <v>100</v>
      </c>
      <c r="S337" s="189"/>
      <c r="T337" s="1"/>
    </row>
    <row r="338" spans="2:25" x14ac:dyDescent="0.25">
      <c r="D338" s="174" t="s">
        <v>126</v>
      </c>
      <c r="T338" s="1"/>
      <c r="V338" s="79" t="s">
        <v>136</v>
      </c>
      <c r="W338" s="81"/>
      <c r="X338" s="81"/>
      <c r="Y338" s="82"/>
    </row>
    <row r="339" spans="2:25" x14ac:dyDescent="0.25">
      <c r="T339" s="1"/>
      <c r="U339" s="7"/>
      <c r="V339" s="83"/>
      <c r="X339" s="1" t="s">
        <v>113</v>
      </c>
      <c r="Y339" s="84"/>
    </row>
    <row r="340" spans="2:25" x14ac:dyDescent="0.25">
      <c r="B340" s="188" t="s">
        <v>130</v>
      </c>
      <c r="H340" s="4" t="s">
        <v>9</v>
      </c>
      <c r="I340" s="190" t="s">
        <v>134</v>
      </c>
      <c r="J340" s="190"/>
      <c r="K340" s="190"/>
      <c r="L340" s="42"/>
      <c r="M340" s="42"/>
      <c r="N340" s="42"/>
      <c r="O340" s="42" t="s">
        <v>185</v>
      </c>
      <c r="P340" s="42" t="s">
        <v>182</v>
      </c>
      <c r="Q340" s="42" t="s">
        <v>183</v>
      </c>
      <c r="R340" s="222" t="s">
        <v>184</v>
      </c>
      <c r="T340" s="122" t="s">
        <v>133</v>
      </c>
      <c r="V340" s="195" t="s">
        <v>181</v>
      </c>
      <c r="W340">
        <f>0.5/0.7</f>
        <v>0.7142857142857143</v>
      </c>
      <c r="X340" s="1" t="s">
        <v>103</v>
      </c>
      <c r="Y340" s="191" t="s">
        <v>112</v>
      </c>
    </row>
    <row r="341" spans="2:25" x14ac:dyDescent="0.25">
      <c r="B341" s="174" t="s">
        <v>135</v>
      </c>
      <c r="H341" s="4">
        <v>1</v>
      </c>
      <c r="J341" s="63"/>
      <c r="K341" s="63"/>
      <c r="L341" s="63"/>
      <c r="M341" s="219">
        <f t="shared" ref="M341:R352" si="84">(M322*$D$122*SQRT(4*$D$124*$B$128/32.2)/12)*$H341/2</f>
        <v>0.80468537411245966</v>
      </c>
      <c r="N341" s="219">
        <f t="shared" si="84"/>
        <v>0.94613823057831692</v>
      </c>
      <c r="O341" s="63">
        <f t="shared" si="84"/>
        <v>1.0875910870441743</v>
      </c>
      <c r="P341" s="63">
        <f t="shared" si="84"/>
        <v>1.2290439435100318</v>
      </c>
      <c r="Q341" s="63">
        <f t="shared" si="84"/>
        <v>1.370496799975889</v>
      </c>
      <c r="R341" s="63">
        <f t="shared" si="84"/>
        <v>1.5119496564417465</v>
      </c>
      <c r="T341" s="205">
        <f>'curve_rzeta_targetnu_add_2.5'!N333</f>
        <v>1.0677438407732609</v>
      </c>
      <c r="V341" s="83"/>
      <c r="W341" s="153">
        <f>X341*$W$340</f>
        <v>0.8571428571428571</v>
      </c>
      <c r="X341" s="149">
        <v>1.2</v>
      </c>
      <c r="Y341" s="192">
        <f>T341/W341</f>
        <v>1.2457011475688045</v>
      </c>
    </row>
    <row r="342" spans="2:25" x14ac:dyDescent="0.25">
      <c r="B342" s="174" t="s">
        <v>143</v>
      </c>
      <c r="H342" s="4">
        <v>2</v>
      </c>
      <c r="J342" s="58"/>
      <c r="K342" s="58"/>
      <c r="L342" s="58"/>
      <c r="M342" s="220">
        <f t="shared" si="84"/>
        <v>2.073612310212877</v>
      </c>
      <c r="N342" s="220">
        <f t="shared" si="84"/>
        <v>2.2636697107470001</v>
      </c>
      <c r="O342" s="58">
        <f t="shared" si="84"/>
        <v>2.4537271112811232</v>
      </c>
      <c r="P342" s="58">
        <f t="shared" si="84"/>
        <v>2.6437845118152468</v>
      </c>
      <c r="Q342" s="58">
        <f t="shared" si="84"/>
        <v>2.8338419123493694</v>
      </c>
      <c r="R342" s="58">
        <f t="shared" si="84"/>
        <v>3.023899312883493</v>
      </c>
      <c r="T342" s="11">
        <f>'curve_rzeta_targetnu_add_2.5'!N334</f>
        <v>0.73886706622201703</v>
      </c>
      <c r="U342" s="115"/>
      <c r="V342" s="83"/>
      <c r="W342" s="154">
        <f t="shared" ref="W342:W352" si="85">X342*$W$340</f>
        <v>0.6071428571428571</v>
      </c>
      <c r="X342" s="150">
        <v>0.85</v>
      </c>
      <c r="Y342" s="192">
        <f t="shared" ref="Y342:Y346" si="86">T342/W342</f>
        <v>1.2169575208362635</v>
      </c>
    </row>
    <row r="343" spans="2:25" x14ac:dyDescent="0.25">
      <c r="H343" s="4">
        <v>3</v>
      </c>
      <c r="J343" s="67"/>
      <c r="K343" s="67"/>
      <c r="L343" s="67"/>
      <c r="M343" s="221">
        <f t="shared" si="84"/>
        <v>3.4818117149096812</v>
      </c>
      <c r="N343" s="221">
        <f t="shared" si="84"/>
        <v>3.6926191657927916</v>
      </c>
      <c r="O343" s="67">
        <f t="shared" si="84"/>
        <v>3.9034266166759046</v>
      </c>
      <c r="P343" s="67">
        <f t="shared" si="84"/>
        <v>4.114234067559015</v>
      </c>
      <c r="Q343" s="67">
        <f t="shared" si="84"/>
        <v>4.3250415184421271</v>
      </c>
      <c r="R343" s="67">
        <f t="shared" si="84"/>
        <v>4.5358489693252393</v>
      </c>
      <c r="T343" s="205">
        <f>'curve_rzeta_targetnu_add_2.5'!N335</f>
        <v>0.64424111952215912</v>
      </c>
      <c r="U343" s="115"/>
      <c r="V343" s="83"/>
      <c r="W343" s="157">
        <f t="shared" si="85"/>
        <v>0.5357142857142857</v>
      </c>
      <c r="X343" s="158">
        <v>0.75</v>
      </c>
      <c r="Y343" s="192">
        <f t="shared" si="86"/>
        <v>1.2025834231080303</v>
      </c>
    </row>
    <row r="344" spans="2:25" x14ac:dyDescent="0.25">
      <c r="H344" s="4">
        <v>4</v>
      </c>
      <c r="J344" s="58"/>
      <c r="K344" s="58"/>
      <c r="L344" s="58"/>
      <c r="M344" s="220">
        <f t="shared" si="84"/>
        <v>4.9519099945382132</v>
      </c>
      <c r="N344" s="220">
        <f t="shared" si="84"/>
        <v>5.1710877207839685</v>
      </c>
      <c r="O344" s="58">
        <f t="shared" si="84"/>
        <v>5.3902654470297229</v>
      </c>
      <c r="P344" s="58">
        <f t="shared" si="84"/>
        <v>5.6094431732754773</v>
      </c>
      <c r="Q344" s="58">
        <f t="shared" si="84"/>
        <v>5.8286208995212325</v>
      </c>
      <c r="R344" s="58">
        <f t="shared" si="84"/>
        <v>6.047798625766986</v>
      </c>
      <c r="T344" s="11">
        <f>'curve_rzeta_targetnu_add_2.5'!N336</f>
        <v>0.60192802777797139</v>
      </c>
      <c r="U344" s="115"/>
      <c r="V344" s="83"/>
      <c r="W344" s="154">
        <f t="shared" si="85"/>
        <v>0.51428571428571423</v>
      </c>
      <c r="X344" s="150">
        <v>0.72</v>
      </c>
      <c r="Y344" s="192">
        <f t="shared" si="86"/>
        <v>1.1704156095682778</v>
      </c>
    </row>
    <row r="345" spans="2:25" x14ac:dyDescent="0.25">
      <c r="H345" s="4">
        <v>5</v>
      </c>
      <c r="J345" s="58"/>
      <c r="K345" s="58"/>
      <c r="L345" s="58"/>
      <c r="M345" s="220">
        <f t="shared" si="84"/>
        <v>6.4220082741667452</v>
      </c>
      <c r="N345" s="220">
        <f t="shared" si="84"/>
        <v>6.6495562757751427</v>
      </c>
      <c r="O345" s="58">
        <f t="shared" si="84"/>
        <v>6.8771042773835402</v>
      </c>
      <c r="P345" s="58">
        <f t="shared" si="84"/>
        <v>7.1046522789919377</v>
      </c>
      <c r="Q345" s="58">
        <f t="shared" si="84"/>
        <v>7.3322002806003352</v>
      </c>
      <c r="R345" s="58">
        <f t="shared" si="84"/>
        <v>7.5597482822087327</v>
      </c>
      <c r="T345" s="11">
        <f>'curve_rzeta_targetnu_add_2.5'!N337</f>
        <v>0.57654017273145874</v>
      </c>
      <c r="U345" s="115"/>
      <c r="V345" s="83"/>
      <c r="W345" s="154">
        <f t="shared" si="85"/>
        <v>0.50714285714285712</v>
      </c>
      <c r="X345" s="150">
        <v>0.71</v>
      </c>
      <c r="Y345" s="192">
        <f t="shared" si="86"/>
        <v>1.1368397772169609</v>
      </c>
    </row>
    <row r="346" spans="2:25" x14ac:dyDescent="0.25">
      <c r="H346" s="4">
        <v>10</v>
      </c>
      <c r="J346" s="67"/>
      <c r="K346" s="67"/>
      <c r="L346" s="67"/>
      <c r="M346" s="221">
        <f t="shared" si="84"/>
        <v>13.772499672309406</v>
      </c>
      <c r="N346" s="221">
        <f t="shared" si="84"/>
        <v>14.041899050731017</v>
      </c>
      <c r="O346" s="67">
        <f t="shared" si="84"/>
        <v>14.311298429152631</v>
      </c>
      <c r="P346" s="67">
        <f t="shared" si="84"/>
        <v>14.580697807574241</v>
      </c>
      <c r="Q346" s="67">
        <f t="shared" si="84"/>
        <v>14.850097185995851</v>
      </c>
      <c r="R346" s="67">
        <f t="shared" si="84"/>
        <v>15.119496564417465</v>
      </c>
      <c r="T346" s="205">
        <f>'curve_rzeta_targetnu_add_2.5'!N338</f>
        <v>0.52576446263843346</v>
      </c>
      <c r="U346" s="115"/>
      <c r="V346" s="83"/>
      <c r="W346" s="157">
        <f t="shared" si="85"/>
        <v>0.5</v>
      </c>
      <c r="X346" s="158">
        <v>0.7</v>
      </c>
      <c r="Y346" s="192">
        <f t="shared" si="86"/>
        <v>1.0515289252768669</v>
      </c>
    </row>
    <row r="347" spans="2:25" x14ac:dyDescent="0.25">
      <c r="H347" s="4">
        <v>20</v>
      </c>
      <c r="J347" s="58"/>
      <c r="K347" s="58"/>
      <c r="L347" s="58"/>
      <c r="M347" s="220">
        <f t="shared" si="84"/>
        <v>29.030572342980271</v>
      </c>
      <c r="N347" s="220">
        <f t="shared" si="84"/>
        <v>29.272256500151208</v>
      </c>
      <c r="O347" s="58">
        <f t="shared" si="84"/>
        <v>29.513940657322134</v>
      </c>
      <c r="P347" s="58">
        <f t="shared" si="84"/>
        <v>29.755624814493068</v>
      </c>
      <c r="Q347" s="58">
        <f t="shared" si="84"/>
        <v>29.997308971663998</v>
      </c>
      <c r="R347" s="58">
        <f t="shared" si="84"/>
        <v>30.238993128834931</v>
      </c>
      <c r="T347" s="11">
        <f>'curve_rzeta_targetnu_add_2.5'!N339</f>
        <v>0.50937639448225469</v>
      </c>
      <c r="U347" s="115"/>
      <c r="V347" s="83"/>
      <c r="W347" s="154">
        <f t="shared" si="85"/>
        <v>0.5</v>
      </c>
      <c r="X347" s="150">
        <v>0.7</v>
      </c>
      <c r="Y347" s="84"/>
    </row>
    <row r="348" spans="2:25" x14ac:dyDescent="0.25">
      <c r="H348" s="4">
        <v>30</v>
      </c>
      <c r="J348" s="58"/>
      <c r="K348" s="58"/>
      <c r="L348" s="58"/>
      <c r="M348" s="220">
        <f t="shared" si="84"/>
        <v>44.335069169849938</v>
      </c>
      <c r="N348" s="220">
        <f t="shared" si="84"/>
        <v>44.539753274530426</v>
      </c>
      <c r="O348" s="58">
        <f t="shared" si="84"/>
        <v>44.744437379210922</v>
      </c>
      <c r="P348" s="58">
        <f t="shared" si="84"/>
        <v>44.94912148389141</v>
      </c>
      <c r="Q348" s="58">
        <f t="shared" si="84"/>
        <v>45.153805588571899</v>
      </c>
      <c r="R348" s="58">
        <f t="shared" si="84"/>
        <v>45.358489693252395</v>
      </c>
      <c r="T348" s="11">
        <f>'curve_rzeta_targetnu_add_2.5'!N340</f>
        <v>0.50441369325743601</v>
      </c>
      <c r="U348" s="115"/>
      <c r="V348" s="83"/>
      <c r="W348" s="154">
        <f t="shared" si="85"/>
        <v>0.5</v>
      </c>
      <c r="X348" s="150">
        <v>0.7</v>
      </c>
      <c r="Y348" s="84"/>
    </row>
    <row r="349" spans="2:25" x14ac:dyDescent="0.25">
      <c r="H349" s="4">
        <v>40</v>
      </c>
      <c r="J349" s="58"/>
      <c r="K349" s="58"/>
      <c r="L349" s="58"/>
      <c r="M349" s="220">
        <f t="shared" si="84"/>
        <v>59.918110933912374</v>
      </c>
      <c r="N349" s="220">
        <f t="shared" si="84"/>
        <v>60.030085998663871</v>
      </c>
      <c r="O349" s="58">
        <f t="shared" si="84"/>
        <v>60.142061063415369</v>
      </c>
      <c r="P349" s="58">
        <f t="shared" si="84"/>
        <v>60.254036128166852</v>
      </c>
      <c r="Q349" s="58">
        <f t="shared" si="84"/>
        <v>60.366011192918371</v>
      </c>
      <c r="R349" s="58">
        <f t="shared" si="84"/>
        <v>60.477986257669862</v>
      </c>
      <c r="T349" s="11">
        <f>'curve_rzeta_targetnu_add_2.5'!N341</f>
        <v>0.50418228936761011</v>
      </c>
      <c r="U349" s="115"/>
      <c r="V349" s="83"/>
      <c r="W349" s="154">
        <f t="shared" si="85"/>
        <v>0.5</v>
      </c>
      <c r="X349" s="150">
        <v>0.7</v>
      </c>
      <c r="Y349" s="84"/>
    </row>
    <row r="350" spans="2:25" x14ac:dyDescent="0.25">
      <c r="H350" s="4">
        <v>50</v>
      </c>
      <c r="J350" s="58"/>
      <c r="K350" s="58"/>
      <c r="L350" s="58"/>
      <c r="M350" s="220">
        <f t="shared" si="84"/>
        <v>75.129759448384448</v>
      </c>
      <c r="N350" s="220">
        <f t="shared" si="84"/>
        <v>75.223304123125018</v>
      </c>
      <c r="O350" s="58">
        <f t="shared" si="84"/>
        <v>75.316848797865589</v>
      </c>
      <c r="P350" s="58">
        <f t="shared" si="84"/>
        <v>75.41039347260616</v>
      </c>
      <c r="Q350" s="58">
        <f t="shared" si="84"/>
        <v>75.503938147346744</v>
      </c>
      <c r="R350" s="58">
        <f t="shared" si="84"/>
        <v>75.597482822087329</v>
      </c>
      <c r="T350" s="11">
        <f>'curve_rzeta_targetnu_add_2.5'!N342</f>
        <v>0.50164350386295875</v>
      </c>
      <c r="V350" s="83"/>
      <c r="W350" s="154">
        <f t="shared" si="85"/>
        <v>0.5</v>
      </c>
      <c r="X350" s="150">
        <v>0.7</v>
      </c>
      <c r="Y350" s="84"/>
    </row>
    <row r="351" spans="2:25" x14ac:dyDescent="0.25">
      <c r="H351" s="4">
        <v>60</v>
      </c>
      <c r="J351" s="58"/>
      <c r="K351" s="58"/>
      <c r="L351" s="58"/>
      <c r="M351" s="220">
        <f t="shared" si="84"/>
        <v>90.434256275254114</v>
      </c>
      <c r="N351" s="220">
        <f t="shared" si="84"/>
        <v>90.490800897504258</v>
      </c>
      <c r="O351" s="58">
        <f t="shared" si="84"/>
        <v>90.547345519754387</v>
      </c>
      <c r="P351" s="58">
        <f t="shared" si="84"/>
        <v>90.603890142004531</v>
      </c>
      <c r="Q351" s="58">
        <f t="shared" si="84"/>
        <v>90.660434764254674</v>
      </c>
      <c r="R351" s="58">
        <f t="shared" si="84"/>
        <v>90.716979386504789</v>
      </c>
      <c r="T351" s="11">
        <f>'curve_rzeta_targetnu_add_2.5'!N343</f>
        <v>0.50045096835376535</v>
      </c>
      <c r="V351" s="83"/>
      <c r="W351" s="154">
        <f t="shared" si="85"/>
        <v>0.5</v>
      </c>
      <c r="X351" s="150">
        <v>0.7</v>
      </c>
      <c r="Y351" s="84"/>
    </row>
    <row r="352" spans="2:25" ht="15.75" thickBot="1" x14ac:dyDescent="0.3">
      <c r="H352" s="4">
        <v>70</v>
      </c>
      <c r="J352" s="67"/>
      <c r="K352" s="67"/>
      <c r="L352" s="67"/>
      <c r="M352" s="221">
        <f t="shared" si="84"/>
        <v>105.83160141452136</v>
      </c>
      <c r="N352" s="221">
        <f t="shared" si="84"/>
        <v>105.83257632180155</v>
      </c>
      <c r="O352" s="67">
        <f t="shared" si="84"/>
        <v>105.83355122908172</v>
      </c>
      <c r="P352" s="67">
        <f t="shared" si="84"/>
        <v>105.83452613636189</v>
      </c>
      <c r="Q352" s="67">
        <f t="shared" si="84"/>
        <v>105.83550104364207</v>
      </c>
      <c r="R352" s="67">
        <f t="shared" si="84"/>
        <v>105.83647595092225</v>
      </c>
      <c r="T352" s="11">
        <f>'curve_rzeta_targetnu_add_2.5'!N344</f>
        <v>0.50002771855626216</v>
      </c>
      <c r="V352" s="93"/>
      <c r="W352" s="193">
        <f t="shared" si="85"/>
        <v>0.5</v>
      </c>
      <c r="X352" s="194">
        <v>0.7</v>
      </c>
      <c r="Y352" s="97"/>
    </row>
    <row r="353" spans="13:19" x14ac:dyDescent="0.25">
      <c r="M353" s="114"/>
      <c r="S353" t="s">
        <v>137</v>
      </c>
    </row>
    <row r="354" spans="13:19" x14ac:dyDescent="0.25">
      <c r="O354" s="61">
        <f>14.3/15.1</f>
        <v>0.94701986754966894</v>
      </c>
    </row>
  </sheetData>
  <pageMargins left="0.7" right="0.7" top="0.75" bottom="0.75" header="0.3" footer="0.3"/>
  <pageSetup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BD2AC-F6D1-411D-8E06-6168342FF827}">
  <sheetPr transitionEvaluation="1" transitionEntry="1"/>
  <dimension ref="B2:AC70"/>
  <sheetViews>
    <sheetView showGridLines="0" zoomScale="90" zoomScaleNormal="90" workbookViewId="0"/>
  </sheetViews>
  <sheetFormatPr defaultRowHeight="15" x14ac:dyDescent="0.25"/>
  <cols>
    <col min="1" max="7" width="9.140625" customWidth="1"/>
    <col min="8" max="8" width="6.42578125" customWidth="1"/>
    <col min="9" max="12" width="9.140625" customWidth="1"/>
    <col min="17" max="17" width="6" customWidth="1"/>
    <col min="20" max="20" width="5.85546875" customWidth="1"/>
    <col min="23" max="23" width="6" customWidth="1"/>
    <col min="24" max="24" width="9.140625" customWidth="1"/>
  </cols>
  <sheetData>
    <row r="2" spans="2:25" x14ac:dyDescent="0.25">
      <c r="B2" s="20" t="s">
        <v>211</v>
      </c>
      <c r="L2" s="115">
        <v>0.7</v>
      </c>
      <c r="M2" s="237">
        <v>22.5</v>
      </c>
      <c r="N2" s="237"/>
      <c r="O2" s="115">
        <v>0.7</v>
      </c>
      <c r="P2">
        <v>22.5</v>
      </c>
    </row>
    <row r="3" spans="2:25" x14ac:dyDescent="0.25">
      <c r="B3" s="20" t="s">
        <v>212</v>
      </c>
      <c r="L3" s="115">
        <v>0.7</v>
      </c>
      <c r="M3">
        <v>21.2</v>
      </c>
      <c r="O3" s="115">
        <v>0.65</v>
      </c>
      <c r="P3">
        <v>21.2</v>
      </c>
      <c r="Q3" s="236">
        <f>P3/P2</f>
        <v>0.94222222222222218</v>
      </c>
    </row>
    <row r="4" spans="2:25" x14ac:dyDescent="0.25">
      <c r="L4" s="115">
        <v>0.65</v>
      </c>
      <c r="M4" s="237">
        <v>21.2</v>
      </c>
      <c r="N4" s="237"/>
      <c r="O4" s="115">
        <v>0.6</v>
      </c>
      <c r="P4">
        <v>20</v>
      </c>
      <c r="Q4" s="236">
        <f>P4/P3</f>
        <v>0.94339622641509435</v>
      </c>
    </row>
    <row r="5" spans="2:25" x14ac:dyDescent="0.25">
      <c r="B5" s="20" t="s">
        <v>209</v>
      </c>
      <c r="L5" s="115">
        <v>0.65</v>
      </c>
      <c r="M5">
        <v>20.100000000000001</v>
      </c>
      <c r="O5" s="115">
        <v>0.55000000000000004</v>
      </c>
      <c r="P5">
        <v>18.8</v>
      </c>
      <c r="Q5" s="236">
        <f t="shared" ref="Q5:Q6" si="0">P5/P4</f>
        <v>0.94000000000000006</v>
      </c>
    </row>
    <row r="6" spans="2:25" x14ac:dyDescent="0.25">
      <c r="B6" s="20" t="s">
        <v>208</v>
      </c>
      <c r="L6" s="115">
        <v>0.6</v>
      </c>
      <c r="M6" s="237">
        <v>20</v>
      </c>
      <c r="N6" s="237"/>
      <c r="O6" s="115">
        <v>0.5</v>
      </c>
      <c r="P6">
        <v>17.600000000000001</v>
      </c>
      <c r="Q6" s="236">
        <f t="shared" si="0"/>
        <v>0.93617021276595747</v>
      </c>
    </row>
    <row r="7" spans="2:25" x14ac:dyDescent="0.25">
      <c r="B7" s="20" t="s">
        <v>213</v>
      </c>
      <c r="L7" s="115">
        <v>0.6</v>
      </c>
      <c r="M7">
        <v>18.899999999999999</v>
      </c>
      <c r="O7" s="115"/>
      <c r="Q7" s="236"/>
    </row>
    <row r="8" spans="2:25" x14ac:dyDescent="0.25">
      <c r="B8" s="20" t="s">
        <v>210</v>
      </c>
      <c r="L8" s="115">
        <v>0.55000000000000004</v>
      </c>
      <c r="M8" s="237">
        <v>18.8</v>
      </c>
      <c r="N8" s="237"/>
      <c r="O8" s="115"/>
      <c r="Q8" s="236"/>
    </row>
    <row r="9" spans="2:25" x14ac:dyDescent="0.25">
      <c r="B9" s="20" t="s">
        <v>214</v>
      </c>
      <c r="L9" s="115">
        <v>0.55000000000000004</v>
      </c>
      <c r="M9">
        <v>17.7</v>
      </c>
      <c r="U9">
        <f>150.1*2</f>
        <v>300.2</v>
      </c>
    </row>
    <row r="10" spans="2:25" x14ac:dyDescent="0.25">
      <c r="B10" s="20"/>
      <c r="L10" s="115">
        <v>0.5</v>
      </c>
      <c r="M10" s="237">
        <v>17.600000000000001</v>
      </c>
      <c r="N10" s="237"/>
      <c r="U10">
        <f>300/70</f>
        <v>4.2857142857142856</v>
      </c>
    </row>
    <row r="11" spans="2:25" x14ac:dyDescent="0.25">
      <c r="B11" s="20"/>
      <c r="L11" s="115">
        <v>0.5</v>
      </c>
      <c r="M11">
        <v>16.8</v>
      </c>
    </row>
    <row r="12" spans="2:25" x14ac:dyDescent="0.25">
      <c r="B12" s="20"/>
      <c r="L12" s="115"/>
    </row>
    <row r="13" spans="2:25" x14ac:dyDescent="0.25">
      <c r="B13" s="20"/>
      <c r="L13" s="115"/>
      <c r="M13" t="s">
        <v>244</v>
      </c>
      <c r="Q13" t="s">
        <v>245</v>
      </c>
    </row>
    <row r="14" spans="2:25" x14ac:dyDescent="0.25">
      <c r="B14" s="20"/>
      <c r="L14" s="115"/>
      <c r="Q14" t="s">
        <v>246</v>
      </c>
    </row>
    <row r="15" spans="2:25" x14ac:dyDescent="0.25">
      <c r="B15" s="20"/>
      <c r="L15" s="115"/>
    </row>
    <row r="16" spans="2:25" x14ac:dyDescent="0.25">
      <c r="B16" s="20"/>
      <c r="L16" s="115"/>
      <c r="M16" s="20" t="s">
        <v>241</v>
      </c>
      <c r="N16" s="20"/>
      <c r="U16" s="240" t="s">
        <v>232</v>
      </c>
      <c r="Y16" s="240" t="s">
        <v>232</v>
      </c>
    </row>
    <row r="17" spans="2:27" x14ac:dyDescent="0.25">
      <c r="O17" s="201" t="s">
        <v>230</v>
      </c>
      <c r="R17" s="240" t="s">
        <v>229</v>
      </c>
      <c r="U17" s="240" t="s">
        <v>233</v>
      </c>
      <c r="Y17" s="201" t="s">
        <v>235</v>
      </c>
    </row>
    <row r="18" spans="2:27" x14ac:dyDescent="0.25">
      <c r="B18" s="174" t="s">
        <v>215</v>
      </c>
      <c r="R18" t="s">
        <v>231</v>
      </c>
      <c r="U18" s="20" t="s">
        <v>234</v>
      </c>
      <c r="Y18" t="s">
        <v>236</v>
      </c>
    </row>
    <row r="19" spans="2:27" x14ac:dyDescent="0.25">
      <c r="F19" s="238" t="s">
        <v>216</v>
      </c>
      <c r="G19" s="239"/>
      <c r="I19" s="238" t="s">
        <v>216</v>
      </c>
      <c r="J19" s="239"/>
      <c r="O19" s="2" t="s">
        <v>228</v>
      </c>
      <c r="P19" s="70" t="s">
        <v>189</v>
      </c>
      <c r="R19" s="2" t="s">
        <v>228</v>
      </c>
      <c r="S19" s="70" t="s">
        <v>189</v>
      </c>
      <c r="U19" s="2" t="s">
        <v>228</v>
      </c>
      <c r="V19" s="70" t="s">
        <v>192</v>
      </c>
      <c r="Y19" s="2" t="s">
        <v>228</v>
      </c>
      <c r="Z19" s="70" t="s">
        <v>192</v>
      </c>
    </row>
    <row r="20" spans="2:27" x14ac:dyDescent="0.25">
      <c r="C20" s="7" t="s">
        <v>188</v>
      </c>
      <c r="D20" s="7"/>
      <c r="F20" s="228" t="s">
        <v>189</v>
      </c>
      <c r="G20" s="229"/>
      <c r="I20" s="228" t="s">
        <v>192</v>
      </c>
      <c r="J20" s="229"/>
      <c r="K20" s="7" t="s">
        <v>227</v>
      </c>
      <c r="N20" s="122" t="s">
        <v>243</v>
      </c>
      <c r="O20" s="122" t="s">
        <v>223</v>
      </c>
      <c r="P20" s="225" t="s">
        <v>196</v>
      </c>
      <c r="R20" s="122" t="s">
        <v>224</v>
      </c>
      <c r="S20" s="225" t="s">
        <v>196</v>
      </c>
      <c r="U20" s="122" t="s">
        <v>224</v>
      </c>
      <c r="V20" s="225" t="s">
        <v>196</v>
      </c>
      <c r="X20" s="122" t="s">
        <v>243</v>
      </c>
      <c r="Y20" s="122" t="s">
        <v>224</v>
      </c>
      <c r="Z20" s="225" t="s">
        <v>196</v>
      </c>
    </row>
    <row r="21" spans="2:27" x14ac:dyDescent="0.25">
      <c r="B21" s="225" t="s">
        <v>9</v>
      </c>
      <c r="C21" s="225" t="s">
        <v>195</v>
      </c>
      <c r="D21" s="225" t="s">
        <v>196</v>
      </c>
      <c r="F21" s="230" t="s">
        <v>195</v>
      </c>
      <c r="G21" s="231" t="s">
        <v>196</v>
      </c>
      <c r="I21" s="230" t="s">
        <v>195</v>
      </c>
      <c r="J21" s="231" t="s">
        <v>196</v>
      </c>
      <c r="M21" t="s">
        <v>218</v>
      </c>
      <c r="N21" s="114">
        <f>O21+2.5</f>
        <v>-5.2</v>
      </c>
      <c r="O21" s="114">
        <v>-7.7</v>
      </c>
      <c r="P21" s="226">
        <v>0.83</v>
      </c>
      <c r="R21" s="114">
        <v>-10.199999999999999</v>
      </c>
      <c r="S21" s="226">
        <v>1.1000000000000001</v>
      </c>
      <c r="U21" s="114">
        <v>-9.1</v>
      </c>
      <c r="V21" s="226">
        <v>0.98</v>
      </c>
      <c r="X21" s="114">
        <v>-3.8</v>
      </c>
      <c r="Y21" s="114">
        <v>-8.8000000000000007</v>
      </c>
      <c r="Z21" s="226">
        <v>0.94</v>
      </c>
    </row>
    <row r="22" spans="2:27" x14ac:dyDescent="0.25">
      <c r="B22" s="1">
        <v>3</v>
      </c>
      <c r="C22" s="114">
        <v>-9</v>
      </c>
      <c r="D22" s="226">
        <v>0.97</v>
      </c>
      <c r="F22" s="232">
        <v>-7.7</v>
      </c>
      <c r="G22" s="233">
        <v>0.83</v>
      </c>
      <c r="I22" s="232">
        <v>-6.6</v>
      </c>
      <c r="J22" s="233">
        <v>0.71</v>
      </c>
      <c r="K22" s="227">
        <f>I22/F22</f>
        <v>0.8571428571428571</v>
      </c>
      <c r="M22" t="s">
        <v>219</v>
      </c>
      <c r="N22" s="244">
        <f t="shared" ref="N22:N24" si="1">O22+2.5</f>
        <v>-20</v>
      </c>
      <c r="O22" s="241">
        <v>-22.5</v>
      </c>
      <c r="P22" s="242">
        <v>0.73</v>
      </c>
      <c r="R22" s="241">
        <v>-25</v>
      </c>
      <c r="S22" s="242">
        <v>0.81</v>
      </c>
      <c r="U22" s="241">
        <v>-23.7</v>
      </c>
      <c r="V22" s="242">
        <v>0.77</v>
      </c>
      <c r="X22" s="244">
        <v>-17.2</v>
      </c>
      <c r="Y22" s="241">
        <v>-22.2</v>
      </c>
      <c r="Z22" s="242">
        <v>0.72</v>
      </c>
      <c r="AA22" s="245">
        <f>X22/N22</f>
        <v>0.86</v>
      </c>
    </row>
    <row r="23" spans="2:27" x14ac:dyDescent="0.25">
      <c r="B23" s="1">
        <v>10</v>
      </c>
      <c r="C23" s="114">
        <v>-24.2</v>
      </c>
      <c r="D23" s="226">
        <v>0.78</v>
      </c>
      <c r="F23" s="232">
        <v>-22.5</v>
      </c>
      <c r="G23" s="233">
        <v>0.73</v>
      </c>
      <c r="I23" s="232">
        <v>-21.2</v>
      </c>
      <c r="J23" s="233">
        <v>0.69</v>
      </c>
      <c r="K23" s="227">
        <f>I23/F23</f>
        <v>0.94222222222222218</v>
      </c>
      <c r="M23" t="s">
        <v>220</v>
      </c>
      <c r="N23" s="114">
        <f t="shared" si="1"/>
        <v>-84.6</v>
      </c>
      <c r="O23" s="114">
        <v>-87.1</v>
      </c>
      <c r="P23" s="226">
        <v>0.7</v>
      </c>
      <c r="R23" s="114">
        <v>-89.6</v>
      </c>
      <c r="S23" s="226">
        <v>0.72</v>
      </c>
      <c r="U23" s="114">
        <v>-89</v>
      </c>
      <c r="V23" s="226">
        <v>0.72</v>
      </c>
      <c r="X23" s="114">
        <v>-77.2</v>
      </c>
      <c r="Y23" s="114">
        <v>-82.2</v>
      </c>
      <c r="Z23" s="226">
        <v>0.66</v>
      </c>
    </row>
    <row r="24" spans="2:27" x14ac:dyDescent="0.25">
      <c r="B24" s="1">
        <v>40</v>
      </c>
      <c r="C24" s="114">
        <v>-89.2</v>
      </c>
      <c r="D24" s="226">
        <v>0.72</v>
      </c>
      <c r="F24" s="232">
        <v>-87.1</v>
      </c>
      <c r="G24" s="233">
        <v>0.7</v>
      </c>
      <c r="I24" s="232">
        <v>-86.5</v>
      </c>
      <c r="J24" s="233">
        <v>0.7</v>
      </c>
      <c r="M24" t="s">
        <v>221</v>
      </c>
      <c r="N24" s="114">
        <f t="shared" si="1"/>
        <v>-149.30000000000001</v>
      </c>
      <c r="O24" s="114">
        <v>-151.80000000000001</v>
      </c>
      <c r="P24" s="226">
        <v>0.7</v>
      </c>
      <c r="R24" s="114">
        <v>-154.30000000000001</v>
      </c>
      <c r="S24" s="226">
        <v>0.71</v>
      </c>
      <c r="U24" s="114">
        <v>-154.30000000000001</v>
      </c>
      <c r="V24" s="226">
        <v>0.71</v>
      </c>
      <c r="X24" s="114">
        <v>-137.4</v>
      </c>
      <c r="Y24" s="114">
        <v>-142.4</v>
      </c>
      <c r="Z24" s="226">
        <v>0.66</v>
      </c>
    </row>
    <row r="25" spans="2:27" x14ac:dyDescent="0.25">
      <c r="B25" s="1">
        <v>70</v>
      </c>
      <c r="C25" s="114">
        <v>-154.19999999999999</v>
      </c>
      <c r="D25" s="226">
        <v>0.71</v>
      </c>
      <c r="F25" s="113">
        <v>-151.80000000000001</v>
      </c>
      <c r="G25" s="234">
        <v>0.7</v>
      </c>
      <c r="I25" s="113">
        <v>-151.80000000000001</v>
      </c>
      <c r="J25" s="234">
        <v>0.7</v>
      </c>
      <c r="K25" s="114"/>
      <c r="Y25" s="20" t="s">
        <v>239</v>
      </c>
    </row>
    <row r="26" spans="2:27" x14ac:dyDescent="0.25">
      <c r="B26" s="1"/>
      <c r="C26" s="114"/>
      <c r="D26" s="226"/>
      <c r="F26" s="114"/>
      <c r="G26" s="226"/>
      <c r="I26" s="114"/>
      <c r="J26" s="226"/>
      <c r="K26" s="114"/>
      <c r="Y26" t="s">
        <v>242</v>
      </c>
    </row>
    <row r="27" spans="2:27" x14ac:dyDescent="0.25">
      <c r="B27" s="1"/>
      <c r="C27" s="114"/>
      <c r="D27" s="226"/>
      <c r="F27" s="114"/>
      <c r="G27" s="226"/>
      <c r="I27" s="114"/>
      <c r="J27" s="226"/>
      <c r="K27" s="114"/>
      <c r="M27" s="20" t="s">
        <v>241</v>
      </c>
      <c r="N27" s="20"/>
      <c r="U27" s="240" t="s">
        <v>232</v>
      </c>
      <c r="Y27" s="240" t="s">
        <v>232</v>
      </c>
    </row>
    <row r="28" spans="2:27" x14ac:dyDescent="0.25">
      <c r="B28" s="1"/>
      <c r="C28" s="114"/>
      <c r="D28" s="226"/>
      <c r="F28" s="114"/>
      <c r="G28" s="226"/>
      <c r="I28" s="114"/>
      <c r="J28" s="226"/>
      <c r="K28" s="114"/>
      <c r="O28" s="201" t="s">
        <v>230</v>
      </c>
      <c r="R28" s="240" t="s">
        <v>229</v>
      </c>
      <c r="U28" s="240" t="s">
        <v>233</v>
      </c>
      <c r="Y28" s="201" t="s">
        <v>235</v>
      </c>
    </row>
    <row r="29" spans="2:27" x14ac:dyDescent="0.25">
      <c r="R29" t="s">
        <v>231</v>
      </c>
      <c r="U29" s="20" t="s">
        <v>234</v>
      </c>
      <c r="Y29" t="s">
        <v>236</v>
      </c>
    </row>
    <row r="30" spans="2:27" x14ac:dyDescent="0.25">
      <c r="F30" s="238" t="s">
        <v>216</v>
      </c>
      <c r="G30" s="239"/>
      <c r="I30" s="238" t="s">
        <v>216</v>
      </c>
      <c r="J30" s="239"/>
      <c r="O30" s="2" t="s">
        <v>228</v>
      </c>
      <c r="P30" s="70" t="s">
        <v>237</v>
      </c>
      <c r="R30" s="2" t="s">
        <v>228</v>
      </c>
      <c r="S30" s="70" t="s">
        <v>237</v>
      </c>
      <c r="U30" s="2" t="s">
        <v>228</v>
      </c>
      <c r="V30" s="70" t="s">
        <v>238</v>
      </c>
      <c r="Y30" s="2" t="s">
        <v>228</v>
      </c>
      <c r="Z30" s="70" t="s">
        <v>238</v>
      </c>
    </row>
    <row r="31" spans="2:27" x14ac:dyDescent="0.25">
      <c r="C31" s="7" t="s">
        <v>197</v>
      </c>
      <c r="D31" s="7"/>
      <c r="F31" s="228" t="s">
        <v>165</v>
      </c>
      <c r="G31" s="229"/>
      <c r="I31" s="228" t="s">
        <v>151</v>
      </c>
      <c r="J31" s="229"/>
      <c r="K31" s="7" t="s">
        <v>199</v>
      </c>
      <c r="N31" s="122" t="s">
        <v>243</v>
      </c>
      <c r="O31" s="122" t="s">
        <v>223</v>
      </c>
      <c r="P31" s="225" t="s">
        <v>196</v>
      </c>
      <c r="R31" s="122" t="s">
        <v>224</v>
      </c>
      <c r="S31" s="225" t="s">
        <v>196</v>
      </c>
      <c r="U31" s="122" t="s">
        <v>224</v>
      </c>
      <c r="V31" s="225" t="s">
        <v>196</v>
      </c>
      <c r="X31" s="122" t="s">
        <v>243</v>
      </c>
      <c r="Y31" s="122" t="s">
        <v>224</v>
      </c>
      <c r="Z31" s="225" t="s">
        <v>196</v>
      </c>
    </row>
    <row r="32" spans="2:27" x14ac:dyDescent="0.25">
      <c r="B32" s="225" t="s">
        <v>9</v>
      </c>
      <c r="C32" s="225" t="s">
        <v>195</v>
      </c>
      <c r="D32" s="225" t="s">
        <v>196</v>
      </c>
      <c r="F32" s="230" t="s">
        <v>195</v>
      </c>
      <c r="G32" s="231" t="s">
        <v>196</v>
      </c>
      <c r="I32" s="230" t="s">
        <v>195</v>
      </c>
      <c r="J32" s="231" t="s">
        <v>196</v>
      </c>
      <c r="M32" t="s">
        <v>218</v>
      </c>
      <c r="N32" s="114">
        <f>O32+2.5</f>
        <v>-4.9000000000000004</v>
      </c>
      <c r="O32" s="114">
        <v>-7.4</v>
      </c>
      <c r="P32" s="226">
        <v>0.8</v>
      </c>
      <c r="R32" s="114">
        <v>-9.9</v>
      </c>
      <c r="S32" s="226">
        <v>1.07</v>
      </c>
      <c r="U32" s="114">
        <v>-8.9</v>
      </c>
      <c r="V32" s="226">
        <v>0.96</v>
      </c>
      <c r="X32" s="114">
        <v>-3.6</v>
      </c>
      <c r="Y32" s="114">
        <v>-8.6</v>
      </c>
      <c r="Z32" s="226">
        <v>0.93</v>
      </c>
    </row>
    <row r="33" spans="2:29" x14ac:dyDescent="0.25">
      <c r="B33" s="1">
        <v>3</v>
      </c>
      <c r="C33" s="114">
        <v>-8.5</v>
      </c>
      <c r="D33" s="226">
        <v>0.92</v>
      </c>
      <c r="F33" s="232">
        <v>-7.4</v>
      </c>
      <c r="G33" s="233">
        <v>0.8</v>
      </c>
      <c r="I33" s="232">
        <v>-6.4</v>
      </c>
      <c r="J33" s="233">
        <v>0.69</v>
      </c>
      <c r="K33" s="227">
        <f>I33/C33</f>
        <v>0.75294117647058822</v>
      </c>
      <c r="M33" t="s">
        <v>219</v>
      </c>
      <c r="N33" s="244">
        <f t="shared" ref="N33:N35" si="2">O33+2.5</f>
        <v>-18.7</v>
      </c>
      <c r="O33" s="241">
        <v>-21.2</v>
      </c>
      <c r="P33" s="242">
        <v>0.68</v>
      </c>
      <c r="R33" s="241">
        <v>-23.7</v>
      </c>
      <c r="S33" s="242">
        <v>0.76</v>
      </c>
      <c r="U33" s="241">
        <v>-22.6</v>
      </c>
      <c r="V33" s="242">
        <v>0.73</v>
      </c>
      <c r="X33" s="244">
        <v>-16.2</v>
      </c>
      <c r="Y33" s="241">
        <v>-21.2</v>
      </c>
      <c r="Z33" s="242">
        <v>0.68</v>
      </c>
      <c r="AA33" s="245">
        <f>X33/N33</f>
        <v>0.86631016042780751</v>
      </c>
    </row>
    <row r="34" spans="2:29" x14ac:dyDescent="0.25">
      <c r="B34" s="1">
        <v>10</v>
      </c>
      <c r="C34" s="114">
        <v>-22.6</v>
      </c>
      <c r="D34" s="226">
        <v>0.73</v>
      </c>
      <c r="F34" s="232">
        <v>-21.2</v>
      </c>
      <c r="G34" s="233">
        <v>0.68</v>
      </c>
      <c r="I34" s="232">
        <v>-20.100000000000001</v>
      </c>
      <c r="J34" s="233">
        <v>0.65</v>
      </c>
      <c r="K34" s="227">
        <f>I34/C34</f>
        <v>0.88938053097345138</v>
      </c>
      <c r="M34" t="s">
        <v>220</v>
      </c>
      <c r="N34" s="114">
        <f t="shared" si="2"/>
        <v>-78.400000000000006</v>
      </c>
      <c r="O34" s="114">
        <v>-80.900000000000006</v>
      </c>
      <c r="P34" s="226">
        <v>0.65</v>
      </c>
      <c r="R34" s="114">
        <v>-83.4</v>
      </c>
      <c r="S34" s="226">
        <v>0.67</v>
      </c>
      <c r="U34" s="114">
        <v>-82.8</v>
      </c>
      <c r="V34" s="226">
        <v>0.67</v>
      </c>
      <c r="X34" s="114">
        <v>-71.599999999999994</v>
      </c>
      <c r="Y34" s="114">
        <v>-76.599999999999994</v>
      </c>
      <c r="Z34" s="226">
        <v>0.62</v>
      </c>
    </row>
    <row r="35" spans="2:29" x14ac:dyDescent="0.25">
      <c r="B35" s="1">
        <v>40</v>
      </c>
      <c r="C35" s="114">
        <v>-83</v>
      </c>
      <c r="D35" s="226">
        <v>0.67</v>
      </c>
      <c r="F35" s="232">
        <v>-80.900000000000006</v>
      </c>
      <c r="G35" s="233">
        <v>0.65</v>
      </c>
      <c r="I35" s="232">
        <v>-80.3</v>
      </c>
      <c r="J35" s="233">
        <v>0.65</v>
      </c>
      <c r="M35" t="s">
        <v>221</v>
      </c>
      <c r="N35" s="114">
        <f t="shared" si="2"/>
        <v>-138.19999999999999</v>
      </c>
      <c r="O35" s="114">
        <v>-140.69999999999999</v>
      </c>
      <c r="P35" s="226">
        <v>0.65</v>
      </c>
      <c r="R35" s="114">
        <v>-143.19999999999999</v>
      </c>
      <c r="S35" s="226">
        <v>0.66</v>
      </c>
      <c r="U35" s="114">
        <v>-143.19999999999999</v>
      </c>
      <c r="V35" s="226">
        <v>0.67</v>
      </c>
      <c r="X35" s="114">
        <v>-127.2</v>
      </c>
      <c r="Y35" s="114">
        <v>-132.19999999999999</v>
      </c>
      <c r="Z35" s="226">
        <v>0.61</v>
      </c>
    </row>
    <row r="36" spans="2:29" x14ac:dyDescent="0.25">
      <c r="B36" s="1">
        <v>70</v>
      </c>
      <c r="C36" s="114">
        <v>-143.30000000000001</v>
      </c>
      <c r="D36" s="226">
        <v>0.67</v>
      </c>
      <c r="F36" s="113">
        <v>-140.69999999999999</v>
      </c>
      <c r="G36" s="234">
        <v>0.65</v>
      </c>
      <c r="I36" s="113">
        <v>-140.69999999999999</v>
      </c>
      <c r="J36" s="234">
        <v>0.65</v>
      </c>
      <c r="Y36" s="20" t="s">
        <v>239</v>
      </c>
    </row>
    <row r="37" spans="2:29" x14ac:dyDescent="0.25">
      <c r="B37" s="1"/>
      <c r="C37" s="114"/>
      <c r="D37" s="226"/>
      <c r="F37" s="114"/>
      <c r="G37" s="226"/>
      <c r="I37" s="114"/>
      <c r="J37" s="226"/>
      <c r="Y37" t="s">
        <v>242</v>
      </c>
    </row>
    <row r="38" spans="2:29" x14ac:dyDescent="0.25">
      <c r="B38" s="1"/>
      <c r="C38" s="114"/>
      <c r="D38" s="226"/>
      <c r="F38" s="114"/>
      <c r="G38" s="226"/>
      <c r="I38" s="114"/>
      <c r="J38" s="226"/>
      <c r="M38" s="20" t="s">
        <v>241</v>
      </c>
      <c r="N38" s="20"/>
      <c r="U38" s="240" t="s">
        <v>232</v>
      </c>
      <c r="Y38" s="240" t="s">
        <v>232</v>
      </c>
    </row>
    <row r="39" spans="2:29" x14ac:dyDescent="0.25">
      <c r="O39" s="201" t="s">
        <v>230</v>
      </c>
      <c r="R39" s="240" t="s">
        <v>229</v>
      </c>
      <c r="U39" s="240" t="s">
        <v>233</v>
      </c>
      <c r="Y39" s="201" t="s">
        <v>235</v>
      </c>
    </row>
    <row r="40" spans="2:29" x14ac:dyDescent="0.25">
      <c r="F40" s="238" t="s">
        <v>216</v>
      </c>
      <c r="G40" s="239"/>
      <c r="I40" s="238" t="s">
        <v>216</v>
      </c>
      <c r="J40" s="239"/>
      <c r="R40" t="s">
        <v>231</v>
      </c>
      <c r="U40" s="20" t="s">
        <v>234</v>
      </c>
      <c r="Y40" t="s">
        <v>236</v>
      </c>
    </row>
    <row r="41" spans="2:29" x14ac:dyDescent="0.25">
      <c r="C41" s="7" t="s">
        <v>200</v>
      </c>
      <c r="D41" s="7"/>
      <c r="F41" s="228" t="s">
        <v>201</v>
      </c>
      <c r="G41" s="229"/>
      <c r="I41" s="228" t="s">
        <v>163</v>
      </c>
      <c r="J41" s="229"/>
      <c r="K41" s="7" t="s">
        <v>202</v>
      </c>
      <c r="O41" s="2" t="s">
        <v>228</v>
      </c>
      <c r="P41" s="70" t="s">
        <v>201</v>
      </c>
      <c r="R41" s="2" t="s">
        <v>228</v>
      </c>
      <c r="S41" s="70" t="s">
        <v>201</v>
      </c>
      <c r="U41" s="2" t="s">
        <v>228</v>
      </c>
      <c r="V41" s="70" t="s">
        <v>163</v>
      </c>
      <c r="Y41" s="2" t="s">
        <v>228</v>
      </c>
      <c r="Z41" s="70" t="s">
        <v>163</v>
      </c>
    </row>
    <row r="42" spans="2:29" x14ac:dyDescent="0.25">
      <c r="B42" s="225" t="s">
        <v>9</v>
      </c>
      <c r="C42" s="225" t="s">
        <v>195</v>
      </c>
      <c r="D42" s="225" t="s">
        <v>196</v>
      </c>
      <c r="F42" s="230" t="s">
        <v>195</v>
      </c>
      <c r="G42" s="231" t="s">
        <v>196</v>
      </c>
      <c r="I42" s="230" t="s">
        <v>195</v>
      </c>
      <c r="J42" s="231" t="s">
        <v>196</v>
      </c>
      <c r="N42" s="122" t="s">
        <v>243</v>
      </c>
      <c r="O42" s="122" t="s">
        <v>223</v>
      </c>
      <c r="P42" s="225" t="s">
        <v>196</v>
      </c>
      <c r="R42" s="122" t="s">
        <v>224</v>
      </c>
      <c r="S42" s="225" t="s">
        <v>196</v>
      </c>
      <c r="U42" s="122" t="s">
        <v>224</v>
      </c>
      <c r="V42" s="225" t="s">
        <v>196</v>
      </c>
      <c r="X42" s="122" t="s">
        <v>243</v>
      </c>
      <c r="Y42" s="122" t="s">
        <v>224</v>
      </c>
      <c r="Z42" s="225" t="s">
        <v>196</v>
      </c>
    </row>
    <row r="43" spans="2:29" x14ac:dyDescent="0.25">
      <c r="B43" s="1">
        <v>3</v>
      </c>
      <c r="C43" s="114">
        <v>-8.1</v>
      </c>
      <c r="D43" s="226">
        <v>0.87</v>
      </c>
      <c r="F43" s="232">
        <v>-7.4</v>
      </c>
      <c r="G43" s="233">
        <v>0.8</v>
      </c>
      <c r="I43" s="232">
        <v>-6.6</v>
      </c>
      <c r="J43" s="233">
        <v>0.71</v>
      </c>
      <c r="K43" s="227">
        <f>I43/C43</f>
        <v>0.81481481481481477</v>
      </c>
      <c r="M43" t="s">
        <v>218</v>
      </c>
      <c r="N43" s="114">
        <f>O43+2.5</f>
        <v>-4.9000000000000004</v>
      </c>
      <c r="O43" s="114">
        <v>-7.4</v>
      </c>
      <c r="P43" s="226">
        <v>0.8</v>
      </c>
      <c r="R43" s="114">
        <v>-9.9</v>
      </c>
      <c r="S43" s="226">
        <v>1.07</v>
      </c>
      <c r="U43" s="114">
        <v>-9.1</v>
      </c>
      <c r="V43" s="226">
        <v>0.98</v>
      </c>
      <c r="X43" s="114">
        <v>-3.7</v>
      </c>
      <c r="Y43" s="114">
        <v>-8.6999999999999993</v>
      </c>
      <c r="Z43" s="226">
        <v>0.94</v>
      </c>
    </row>
    <row r="44" spans="2:29" x14ac:dyDescent="0.25">
      <c r="B44" s="1">
        <v>10</v>
      </c>
      <c r="C44" s="114">
        <v>-21.1</v>
      </c>
      <c r="D44" s="226">
        <v>0.68</v>
      </c>
      <c r="F44" s="232">
        <v>-20</v>
      </c>
      <c r="G44" s="233">
        <v>0.65</v>
      </c>
      <c r="I44" s="232">
        <v>-18.899999999999999</v>
      </c>
      <c r="J44" s="233">
        <v>0.61</v>
      </c>
      <c r="K44" s="227">
        <f>I44/C44</f>
        <v>0.89573459715639803</v>
      </c>
      <c r="M44" t="s">
        <v>219</v>
      </c>
      <c r="N44" s="244">
        <f t="shared" ref="N44:N46" si="3">O44+2.5</f>
        <v>-17.5</v>
      </c>
      <c r="O44" s="241">
        <v>-20</v>
      </c>
      <c r="P44" s="242">
        <v>0.65</v>
      </c>
      <c r="R44" s="241">
        <v>-22.5</v>
      </c>
      <c r="S44" s="242">
        <v>0.73</v>
      </c>
      <c r="U44" s="241">
        <v>-21.4</v>
      </c>
      <c r="V44" s="242">
        <v>0.69</v>
      </c>
      <c r="X44" s="244">
        <v>-15.1</v>
      </c>
      <c r="Y44" s="241">
        <v>-20.100000000000001</v>
      </c>
      <c r="Z44" s="242">
        <v>0.65</v>
      </c>
      <c r="AA44" s="245">
        <f>X44/N44</f>
        <v>0.86285714285714288</v>
      </c>
      <c r="AB44">
        <v>21.2</v>
      </c>
    </row>
    <row r="45" spans="2:29" x14ac:dyDescent="0.25">
      <c r="B45" s="1">
        <v>40</v>
      </c>
      <c r="C45" s="114">
        <v>-76.8</v>
      </c>
      <c r="D45" s="226">
        <v>0.62</v>
      </c>
      <c r="F45" s="232">
        <v>-74.900000000000006</v>
      </c>
      <c r="G45" s="233">
        <v>0.61</v>
      </c>
      <c r="I45" s="232">
        <v>-74.3</v>
      </c>
      <c r="J45" s="233">
        <v>0.6</v>
      </c>
      <c r="M45" t="s">
        <v>220</v>
      </c>
      <c r="N45" s="114">
        <f t="shared" si="3"/>
        <v>-72.400000000000006</v>
      </c>
      <c r="O45" s="114">
        <v>-74.900000000000006</v>
      </c>
      <c r="P45" s="226">
        <v>0.61</v>
      </c>
      <c r="R45" s="114">
        <v>-77.400000000000006</v>
      </c>
      <c r="S45" s="226">
        <v>0.63</v>
      </c>
      <c r="U45" s="114">
        <v>-76.8</v>
      </c>
      <c r="V45" s="226">
        <v>0.62</v>
      </c>
      <c r="X45" s="114">
        <v>-66.099999999999994</v>
      </c>
      <c r="Y45" s="114">
        <v>-71.099999999999994</v>
      </c>
      <c r="Z45" s="226">
        <v>0.56999999999999995</v>
      </c>
      <c r="AB45">
        <v>20</v>
      </c>
      <c r="AC45">
        <f>AB44-AB45</f>
        <v>1.1999999999999993</v>
      </c>
    </row>
    <row r="46" spans="2:29" x14ac:dyDescent="0.25">
      <c r="B46" s="1">
        <v>70</v>
      </c>
      <c r="C46" s="114">
        <v>-132.5</v>
      </c>
      <c r="D46" s="226">
        <v>0.61</v>
      </c>
      <c r="F46" s="113">
        <v>-129.9</v>
      </c>
      <c r="G46" s="234">
        <v>0.6</v>
      </c>
      <c r="I46" s="113">
        <v>-129.9</v>
      </c>
      <c r="J46" s="234">
        <v>0.6</v>
      </c>
      <c r="M46" t="s">
        <v>221</v>
      </c>
      <c r="N46" s="114">
        <f t="shared" si="3"/>
        <v>-127.4</v>
      </c>
      <c r="O46" s="114">
        <v>-129.9</v>
      </c>
      <c r="P46" s="226">
        <v>0.6</v>
      </c>
      <c r="R46" s="114">
        <v>-132.4</v>
      </c>
      <c r="S46" s="226">
        <v>0.61</v>
      </c>
      <c r="U46" s="114">
        <v>-132.4</v>
      </c>
      <c r="V46" s="226">
        <v>0.61</v>
      </c>
      <c r="X46" s="114">
        <v>-117.2</v>
      </c>
      <c r="Y46" s="114">
        <v>-122.2</v>
      </c>
      <c r="Z46" s="226">
        <v>0.56000000000000005</v>
      </c>
      <c r="AB46">
        <v>18.8</v>
      </c>
      <c r="AC46">
        <f t="shared" ref="AC46:AC47" si="4">AB45-AB46</f>
        <v>1.1999999999999993</v>
      </c>
    </row>
    <row r="47" spans="2:29" x14ac:dyDescent="0.25">
      <c r="B47" s="1"/>
      <c r="C47" s="114"/>
      <c r="D47" s="226"/>
      <c r="F47" s="114"/>
      <c r="G47" s="226"/>
      <c r="I47" s="114"/>
      <c r="J47" s="226"/>
      <c r="Y47" s="20" t="s">
        <v>239</v>
      </c>
      <c r="AB47">
        <v>17.600000000000001</v>
      </c>
      <c r="AC47">
        <f t="shared" si="4"/>
        <v>1.1999999999999993</v>
      </c>
    </row>
    <row r="48" spans="2:29" x14ac:dyDescent="0.25">
      <c r="B48" s="1"/>
      <c r="C48" s="114"/>
      <c r="D48" s="226"/>
      <c r="F48" s="114"/>
      <c r="G48" s="226"/>
      <c r="I48" s="114"/>
      <c r="J48" s="226"/>
      <c r="Y48" t="s">
        <v>242</v>
      </c>
    </row>
    <row r="49" spans="2:27" x14ac:dyDescent="0.25">
      <c r="B49" s="1"/>
      <c r="C49" s="114"/>
      <c r="D49" s="226"/>
      <c r="F49" s="114"/>
      <c r="G49" s="226"/>
      <c r="I49" s="114"/>
      <c r="J49" s="226"/>
      <c r="M49" s="20" t="s">
        <v>241</v>
      </c>
      <c r="N49" s="20"/>
      <c r="U49" s="240" t="s">
        <v>232</v>
      </c>
      <c r="Y49" s="240" t="s">
        <v>232</v>
      </c>
    </row>
    <row r="50" spans="2:27" x14ac:dyDescent="0.25">
      <c r="O50" s="201" t="s">
        <v>230</v>
      </c>
      <c r="R50" s="240" t="s">
        <v>229</v>
      </c>
      <c r="U50" s="240" t="s">
        <v>233</v>
      </c>
      <c r="Y50" s="201" t="s">
        <v>235</v>
      </c>
    </row>
    <row r="51" spans="2:27" x14ac:dyDescent="0.25">
      <c r="F51" s="238" t="s">
        <v>216</v>
      </c>
      <c r="G51" s="239"/>
      <c r="I51" s="238" t="s">
        <v>216</v>
      </c>
      <c r="J51" s="239"/>
      <c r="R51" t="s">
        <v>231</v>
      </c>
      <c r="U51" s="20" t="s">
        <v>234</v>
      </c>
      <c r="Y51" t="s">
        <v>236</v>
      </c>
    </row>
    <row r="52" spans="2:27" x14ac:dyDescent="0.25">
      <c r="C52" s="7" t="s">
        <v>203</v>
      </c>
      <c r="D52" s="7"/>
      <c r="F52" s="228" t="s">
        <v>177</v>
      </c>
      <c r="G52" s="229"/>
      <c r="I52" s="228" t="s">
        <v>166</v>
      </c>
      <c r="J52" s="229"/>
      <c r="K52" s="7" t="s">
        <v>204</v>
      </c>
      <c r="O52" s="2" t="s">
        <v>228</v>
      </c>
      <c r="P52" s="70" t="s">
        <v>177</v>
      </c>
      <c r="R52" s="2" t="s">
        <v>228</v>
      </c>
      <c r="S52" s="70" t="s">
        <v>177</v>
      </c>
      <c r="U52" s="2" t="s">
        <v>228</v>
      </c>
      <c r="V52" s="70" t="s">
        <v>166</v>
      </c>
      <c r="Y52" s="2" t="s">
        <v>228</v>
      </c>
      <c r="Z52" s="70" t="s">
        <v>166</v>
      </c>
    </row>
    <row r="53" spans="2:27" x14ac:dyDescent="0.25">
      <c r="B53" s="225" t="s">
        <v>9</v>
      </c>
      <c r="C53" s="225" t="s">
        <v>195</v>
      </c>
      <c r="D53" s="225" t="s">
        <v>196</v>
      </c>
      <c r="F53" s="230" t="s">
        <v>195</v>
      </c>
      <c r="G53" s="231" t="s">
        <v>196</v>
      </c>
      <c r="I53" s="230" t="s">
        <v>195</v>
      </c>
      <c r="J53" s="231" t="s">
        <v>196</v>
      </c>
      <c r="N53" s="122" t="s">
        <v>243</v>
      </c>
      <c r="O53" s="122" t="s">
        <v>223</v>
      </c>
      <c r="P53" s="225" t="s">
        <v>196</v>
      </c>
      <c r="R53" s="122" t="s">
        <v>224</v>
      </c>
      <c r="S53" s="225" t="s">
        <v>196</v>
      </c>
      <c r="U53" s="122" t="s">
        <v>224</v>
      </c>
      <c r="V53" s="225" t="s">
        <v>196</v>
      </c>
      <c r="X53" s="122" t="s">
        <v>243</v>
      </c>
      <c r="Y53" s="122" t="s">
        <v>224</v>
      </c>
      <c r="Z53" s="225" t="s">
        <v>196</v>
      </c>
    </row>
    <row r="54" spans="2:27" x14ac:dyDescent="0.25">
      <c r="B54" s="1">
        <v>3</v>
      </c>
      <c r="C54" s="114">
        <v>-7.6</v>
      </c>
      <c r="D54" s="226">
        <v>0.82</v>
      </c>
      <c r="F54" s="232">
        <v>-7.2</v>
      </c>
      <c r="G54" s="233">
        <v>0.78</v>
      </c>
      <c r="I54" s="232">
        <v>-6.5</v>
      </c>
      <c r="J54" s="233">
        <v>0.7</v>
      </c>
      <c r="K54" s="227">
        <f>I54/C54</f>
        <v>0.85526315789473684</v>
      </c>
      <c r="M54" t="s">
        <v>218</v>
      </c>
      <c r="N54" s="114">
        <f>O54+2.5</f>
        <v>-4.7</v>
      </c>
      <c r="O54" s="114">
        <v>-7.2</v>
      </c>
      <c r="P54" s="226">
        <v>0.78</v>
      </c>
      <c r="R54" s="114">
        <v>-9.1</v>
      </c>
      <c r="S54" s="226">
        <v>1.05</v>
      </c>
      <c r="U54" s="114">
        <v>-9</v>
      </c>
      <c r="V54" s="226">
        <v>0.97</v>
      </c>
      <c r="X54" s="114">
        <v>-3.7</v>
      </c>
      <c r="Y54" s="114">
        <v>-8.6999999999999993</v>
      </c>
      <c r="Z54" s="226">
        <v>0.93</v>
      </c>
    </row>
    <row r="55" spans="2:27" x14ac:dyDescent="0.25">
      <c r="B55" s="1">
        <v>10</v>
      </c>
      <c r="C55" s="114">
        <v>-19.5</v>
      </c>
      <c r="D55" s="226">
        <v>0.63</v>
      </c>
      <c r="F55" s="232">
        <v>-18.8</v>
      </c>
      <c r="G55" s="233">
        <v>0.61</v>
      </c>
      <c r="I55" s="232">
        <v>-17.7</v>
      </c>
      <c r="J55" s="233">
        <v>0.56999999999999995</v>
      </c>
      <c r="K55" s="227">
        <f>I55/C55</f>
        <v>0.90769230769230769</v>
      </c>
      <c r="M55" t="s">
        <v>219</v>
      </c>
      <c r="N55" s="244">
        <f t="shared" ref="N55:N57" si="5">O55+2.5</f>
        <v>-16.3</v>
      </c>
      <c r="O55" s="241">
        <v>-18.8</v>
      </c>
      <c r="P55" s="242">
        <v>0.61</v>
      </c>
      <c r="R55" s="241">
        <v>-21.8</v>
      </c>
      <c r="S55" s="242">
        <v>0.69</v>
      </c>
      <c r="U55" s="241">
        <v>-20.2</v>
      </c>
      <c r="V55" s="242">
        <v>0.65</v>
      </c>
      <c r="X55" s="244">
        <v>-14</v>
      </c>
      <c r="Y55" s="241">
        <v>-19</v>
      </c>
      <c r="Z55" s="242">
        <v>0.61</v>
      </c>
      <c r="AA55" s="245">
        <f>X55/N55</f>
        <v>0.85889570552147232</v>
      </c>
    </row>
    <row r="56" spans="2:27" x14ac:dyDescent="0.25">
      <c r="B56" s="1">
        <v>40</v>
      </c>
      <c r="C56" s="114">
        <v>-70.599999999999994</v>
      </c>
      <c r="D56" s="226">
        <v>0.56999999999999995</v>
      </c>
      <c r="F56" s="232">
        <v>-68.900000000000006</v>
      </c>
      <c r="G56" s="233">
        <v>0.56000000000000005</v>
      </c>
      <c r="I56" s="232">
        <v>-68.3</v>
      </c>
      <c r="J56" s="233">
        <v>0.55000000000000004</v>
      </c>
      <c r="M56" t="s">
        <v>220</v>
      </c>
      <c r="N56" s="114">
        <f t="shared" si="5"/>
        <v>-66.400000000000006</v>
      </c>
      <c r="O56" s="114">
        <v>-68.900000000000006</v>
      </c>
      <c r="P56" s="226">
        <v>0.56000000000000005</v>
      </c>
      <c r="R56" s="114">
        <v>-70.3</v>
      </c>
      <c r="S56" s="226">
        <v>0.57999999999999996</v>
      </c>
      <c r="U56" s="114">
        <v>-70.8</v>
      </c>
      <c r="V56" s="226">
        <v>0.56999999999999995</v>
      </c>
      <c r="X56" s="114">
        <v>-60.5</v>
      </c>
      <c r="Y56" s="114">
        <v>-65.5</v>
      </c>
      <c r="Z56" s="226">
        <v>0.53</v>
      </c>
    </row>
    <row r="57" spans="2:27" x14ac:dyDescent="0.25">
      <c r="B57" s="1">
        <v>70</v>
      </c>
      <c r="C57" s="114">
        <v>-121.7</v>
      </c>
      <c r="D57" s="226">
        <v>0.56000000000000005</v>
      </c>
      <c r="F57" s="113">
        <v>-119.1</v>
      </c>
      <c r="G57" s="234">
        <v>0.55000000000000004</v>
      </c>
      <c r="I57" s="113">
        <v>-119.1</v>
      </c>
      <c r="J57" s="234">
        <v>0.55000000000000004</v>
      </c>
      <c r="M57" t="s">
        <v>221</v>
      </c>
      <c r="N57" s="114">
        <f t="shared" si="5"/>
        <v>-116.6</v>
      </c>
      <c r="O57" s="114">
        <v>-119.1</v>
      </c>
      <c r="P57" s="226">
        <v>0.55000000000000004</v>
      </c>
      <c r="R57" s="114">
        <v>-123</v>
      </c>
      <c r="S57" s="226">
        <v>0.56000000000000005</v>
      </c>
      <c r="U57" s="114">
        <v>-121.6</v>
      </c>
      <c r="V57" s="226">
        <v>0.56000000000000005</v>
      </c>
      <c r="X57" s="114">
        <v>-107.2</v>
      </c>
      <c r="Y57" s="114">
        <v>-112.2</v>
      </c>
      <c r="Z57" s="226">
        <v>0.52</v>
      </c>
    </row>
    <row r="58" spans="2:27" x14ac:dyDescent="0.25">
      <c r="B58" s="1"/>
      <c r="C58" s="114"/>
      <c r="D58" s="226"/>
      <c r="F58" s="114"/>
      <c r="G58" s="226"/>
      <c r="I58" s="114"/>
      <c r="J58" s="226"/>
      <c r="Y58" s="20" t="s">
        <v>240</v>
      </c>
    </row>
    <row r="59" spans="2:27" x14ac:dyDescent="0.25">
      <c r="B59" s="1"/>
      <c r="C59" s="114"/>
      <c r="D59" s="226"/>
      <c r="F59" s="114"/>
      <c r="G59" s="226"/>
      <c r="I59" s="114"/>
      <c r="J59" s="226"/>
      <c r="Y59" t="s">
        <v>242</v>
      </c>
    </row>
    <row r="60" spans="2:27" x14ac:dyDescent="0.25">
      <c r="B60" s="1"/>
      <c r="C60" s="114"/>
      <c r="D60" s="226"/>
      <c r="F60" s="114"/>
      <c r="G60" s="226"/>
      <c r="I60" s="114"/>
      <c r="J60" s="226"/>
      <c r="M60" s="20" t="s">
        <v>241</v>
      </c>
      <c r="N60" s="20"/>
      <c r="U60" s="240" t="s">
        <v>232</v>
      </c>
      <c r="Y60" s="240" t="s">
        <v>232</v>
      </c>
    </row>
    <row r="61" spans="2:27" x14ac:dyDescent="0.25">
      <c r="O61" s="201" t="s">
        <v>230</v>
      </c>
      <c r="R61" s="240" t="s">
        <v>229</v>
      </c>
      <c r="U61" s="240" t="s">
        <v>233</v>
      </c>
      <c r="Y61" s="201" t="s">
        <v>235</v>
      </c>
    </row>
    <row r="62" spans="2:27" x14ac:dyDescent="0.25">
      <c r="F62" s="238" t="s">
        <v>216</v>
      </c>
      <c r="G62" s="239"/>
      <c r="I62" s="238" t="s">
        <v>216</v>
      </c>
      <c r="J62" s="239"/>
      <c r="R62" t="s">
        <v>231</v>
      </c>
      <c r="U62" s="20" t="s">
        <v>234</v>
      </c>
      <c r="Y62" t="s">
        <v>236</v>
      </c>
    </row>
    <row r="63" spans="2:27" x14ac:dyDescent="0.25">
      <c r="C63" s="7" t="s">
        <v>205</v>
      </c>
      <c r="D63" s="7"/>
      <c r="F63" s="235" t="s">
        <v>206</v>
      </c>
      <c r="G63" s="23"/>
      <c r="I63" s="228" t="s">
        <v>185</v>
      </c>
      <c r="J63" s="229"/>
      <c r="K63" s="7" t="s">
        <v>207</v>
      </c>
      <c r="O63" s="2" t="s">
        <v>228</v>
      </c>
      <c r="P63" s="243" t="s">
        <v>206</v>
      </c>
      <c r="R63" s="2" t="s">
        <v>228</v>
      </c>
      <c r="S63" s="243" t="s">
        <v>206</v>
      </c>
      <c r="U63" s="2" t="s">
        <v>228</v>
      </c>
      <c r="V63" s="70" t="s">
        <v>185</v>
      </c>
      <c r="Y63" s="2" t="s">
        <v>228</v>
      </c>
      <c r="Z63" s="70" t="s">
        <v>185</v>
      </c>
    </row>
    <row r="64" spans="2:27" x14ac:dyDescent="0.25">
      <c r="B64" s="225" t="s">
        <v>9</v>
      </c>
      <c r="C64" s="225" t="s">
        <v>195</v>
      </c>
      <c r="D64" s="225" t="s">
        <v>196</v>
      </c>
      <c r="F64" s="230" t="s">
        <v>195</v>
      </c>
      <c r="G64" s="231" t="s">
        <v>196</v>
      </c>
      <c r="I64" s="230" t="s">
        <v>195</v>
      </c>
      <c r="J64" s="231" t="s">
        <v>196</v>
      </c>
      <c r="N64" s="122" t="s">
        <v>243</v>
      </c>
      <c r="O64" s="122" t="s">
        <v>223</v>
      </c>
      <c r="P64" s="225" t="s">
        <v>196</v>
      </c>
      <c r="R64" s="122" t="s">
        <v>224</v>
      </c>
      <c r="S64" s="225" t="s">
        <v>196</v>
      </c>
      <c r="U64" s="122" t="s">
        <v>224</v>
      </c>
      <c r="V64" s="225" t="s">
        <v>196</v>
      </c>
      <c r="X64" s="122" t="s">
        <v>243</v>
      </c>
      <c r="Y64" s="122" t="s">
        <v>224</v>
      </c>
      <c r="Z64" s="225" t="s">
        <v>196</v>
      </c>
    </row>
    <row r="65" spans="2:27" x14ac:dyDescent="0.25">
      <c r="B65" s="1">
        <v>3</v>
      </c>
      <c r="C65" s="114">
        <v>-7.1</v>
      </c>
      <c r="D65" s="226">
        <v>0.77</v>
      </c>
      <c r="F65" s="232">
        <v>-7</v>
      </c>
      <c r="G65" s="233">
        <v>0.76</v>
      </c>
      <c r="I65" s="232">
        <v>-6.4</v>
      </c>
      <c r="J65" s="233">
        <v>0.69</v>
      </c>
      <c r="K65" s="227">
        <f>I65/C65</f>
        <v>0.90140845070422548</v>
      </c>
      <c r="M65" t="s">
        <v>218</v>
      </c>
      <c r="N65" s="114">
        <f>O65+2.5</f>
        <v>-4.5</v>
      </c>
      <c r="O65" s="114">
        <v>-7</v>
      </c>
      <c r="P65" s="226">
        <v>0.76</v>
      </c>
      <c r="R65" s="114">
        <v>-9.5</v>
      </c>
      <c r="S65" s="226">
        <v>1.03</v>
      </c>
      <c r="U65" s="114">
        <v>-8.9</v>
      </c>
      <c r="V65" s="226">
        <v>0.96</v>
      </c>
      <c r="X65" s="114">
        <v>-3.6</v>
      </c>
      <c r="Y65" s="114">
        <v>-8.6</v>
      </c>
      <c r="Z65" s="226">
        <v>0.93</v>
      </c>
    </row>
    <row r="66" spans="2:27" x14ac:dyDescent="0.25">
      <c r="B66" s="1">
        <v>10</v>
      </c>
      <c r="C66" s="114">
        <v>-18</v>
      </c>
      <c r="D66" s="226">
        <v>0.57999999999999996</v>
      </c>
      <c r="F66" s="232">
        <v>-17.600000000000001</v>
      </c>
      <c r="G66" s="233">
        <v>0.56999999999999995</v>
      </c>
      <c r="I66" s="232">
        <v>-16.8</v>
      </c>
      <c r="J66" s="233">
        <v>0.54</v>
      </c>
      <c r="K66" s="227">
        <f>I66/C66</f>
        <v>0.93333333333333335</v>
      </c>
      <c r="M66" t="s">
        <v>219</v>
      </c>
      <c r="N66" s="114">
        <f t="shared" ref="N66:N68" si="6">O66+2.5</f>
        <v>-15.100000000000001</v>
      </c>
      <c r="O66" s="241">
        <v>-17.600000000000001</v>
      </c>
      <c r="P66" s="242">
        <v>0.56999999999999995</v>
      </c>
      <c r="R66" s="241">
        <v>-20.100000000000001</v>
      </c>
      <c r="S66" s="242">
        <v>0.65</v>
      </c>
      <c r="U66" s="241">
        <v>-19.3</v>
      </c>
      <c r="V66" s="242">
        <v>0.62</v>
      </c>
      <c r="X66" s="114">
        <v>-13.2</v>
      </c>
      <c r="Y66" s="241">
        <v>-18.2</v>
      </c>
      <c r="Z66" s="242">
        <v>0.59</v>
      </c>
      <c r="AA66" s="245">
        <f>X66/N66</f>
        <v>0.87417218543046349</v>
      </c>
    </row>
    <row r="67" spans="2:27" x14ac:dyDescent="0.25">
      <c r="B67" s="1">
        <v>40</v>
      </c>
      <c r="C67" s="114">
        <v>-64.400000000000006</v>
      </c>
      <c r="D67" s="226">
        <v>0.52</v>
      </c>
      <c r="F67" s="232">
        <v>-63</v>
      </c>
      <c r="G67" s="233">
        <v>0.51</v>
      </c>
      <c r="I67" s="232">
        <v>-62.6</v>
      </c>
      <c r="J67" s="233">
        <v>0.51</v>
      </c>
      <c r="M67" t="s">
        <v>220</v>
      </c>
      <c r="N67" s="114">
        <f t="shared" si="6"/>
        <v>-60.5</v>
      </c>
      <c r="O67" s="114">
        <v>-63</v>
      </c>
      <c r="P67" s="226">
        <v>0.51</v>
      </c>
      <c r="R67" s="114">
        <v>-65.5</v>
      </c>
      <c r="S67" s="226">
        <v>0.53</v>
      </c>
      <c r="U67" s="114">
        <v>-65.099999999999994</v>
      </c>
      <c r="V67" s="226">
        <v>0.53</v>
      </c>
      <c r="X67" s="114">
        <v>-55.2</v>
      </c>
      <c r="Y67" s="114">
        <v>-60.3</v>
      </c>
      <c r="Z67" s="226">
        <v>0.49</v>
      </c>
    </row>
    <row r="68" spans="2:27" x14ac:dyDescent="0.25">
      <c r="B68" s="1">
        <v>70</v>
      </c>
      <c r="C68" s="114">
        <v>-110.8</v>
      </c>
      <c r="D68" s="226">
        <v>0.51</v>
      </c>
      <c r="F68" s="113">
        <v>-108.3</v>
      </c>
      <c r="G68" s="234">
        <v>0.5</v>
      </c>
      <c r="I68" s="113">
        <v>-108.3</v>
      </c>
      <c r="J68" s="234">
        <v>0.5</v>
      </c>
      <c r="M68" t="s">
        <v>221</v>
      </c>
      <c r="N68" s="114">
        <f t="shared" si="6"/>
        <v>-105.8</v>
      </c>
      <c r="O68" s="114">
        <v>-108.3</v>
      </c>
      <c r="P68" s="226">
        <v>0.5</v>
      </c>
      <c r="R68" s="114">
        <v>-110.8</v>
      </c>
      <c r="S68" s="226">
        <v>0.51</v>
      </c>
      <c r="U68" s="114">
        <v>-110.8</v>
      </c>
      <c r="V68" s="226">
        <v>0.51</v>
      </c>
      <c r="X68" s="114">
        <v>-97.4</v>
      </c>
      <c r="Y68" s="114">
        <v>-102.4</v>
      </c>
      <c r="Z68" s="226">
        <v>0.47</v>
      </c>
    </row>
    <row r="69" spans="2:27" x14ac:dyDescent="0.25">
      <c r="Y69" s="20" t="s">
        <v>240</v>
      </c>
    </row>
    <row r="70" spans="2:27" x14ac:dyDescent="0.25">
      <c r="Y70" t="s">
        <v>242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>
    <pageSetUpPr fitToPage="1"/>
  </sheetPr>
  <dimension ref="A2:AM346"/>
  <sheetViews>
    <sheetView showGridLines="0" topLeftCell="A25" zoomScale="80" zoomScaleNormal="80" workbookViewId="0">
      <selection activeCell="C44" sqref="C44"/>
    </sheetView>
  </sheetViews>
  <sheetFormatPr defaultRowHeight="15" x14ac:dyDescent="0.25"/>
  <cols>
    <col min="1" max="12" width="9.28515625" customWidth="1"/>
    <col min="13" max="13" width="10.85546875" customWidth="1"/>
    <col min="14" max="14" width="9.28515625" customWidth="1"/>
    <col min="15" max="15" width="10.140625" customWidth="1"/>
    <col min="16" max="20" width="9.28515625" customWidth="1"/>
    <col min="21" max="21" width="13" customWidth="1"/>
    <col min="22" max="37" width="9.28515625" customWidth="1"/>
  </cols>
  <sheetData>
    <row r="2" spans="1:39" ht="15.75" x14ac:dyDescent="0.25">
      <c r="A2" t="s">
        <v>0</v>
      </c>
      <c r="B2" t="s">
        <v>46</v>
      </c>
      <c r="K2" s="189" t="s">
        <v>131</v>
      </c>
      <c r="AM2" t="s">
        <v>12</v>
      </c>
    </row>
    <row r="3" spans="1:39" ht="15.75" x14ac:dyDescent="0.25">
      <c r="A3" t="s">
        <v>1</v>
      </c>
      <c r="K3" s="189" t="s">
        <v>132</v>
      </c>
    </row>
    <row r="4" spans="1:39" x14ac:dyDescent="0.25">
      <c r="A4" t="s">
        <v>2</v>
      </c>
    </row>
    <row r="5" spans="1:39" ht="18.75" x14ac:dyDescent="0.3">
      <c r="K5" s="223" t="s">
        <v>186</v>
      </c>
    </row>
    <row r="6" spans="1:39" ht="15.75" x14ac:dyDescent="0.25">
      <c r="B6" s="2" t="s">
        <v>3</v>
      </c>
      <c r="C6" t="s">
        <v>5</v>
      </c>
      <c r="K6" s="224" t="s">
        <v>187</v>
      </c>
    </row>
    <row r="7" spans="1:39" ht="15.75" x14ac:dyDescent="0.25">
      <c r="B7" s="2" t="s">
        <v>21</v>
      </c>
      <c r="C7" t="s">
        <v>6</v>
      </c>
      <c r="K7" s="206"/>
    </row>
    <row r="8" spans="1:39" x14ac:dyDescent="0.25">
      <c r="B8" s="2" t="s">
        <v>4</v>
      </c>
      <c r="C8" t="s">
        <v>7</v>
      </c>
    </row>
    <row r="9" spans="1:39" x14ac:dyDescent="0.25">
      <c r="B9" s="2"/>
    </row>
    <row r="10" spans="1:39" x14ac:dyDescent="0.25">
      <c r="B10" s="21" t="s">
        <v>22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  <c r="Q10" s="21" t="s">
        <v>30</v>
      </c>
      <c r="R10" s="22"/>
      <c r="S10" s="22"/>
      <c r="T10" s="22"/>
      <c r="U10" s="22"/>
      <c r="V10" s="23"/>
    </row>
    <row r="11" spans="1:39" x14ac:dyDescent="0.25">
      <c r="B11" s="24"/>
      <c r="C11" s="20" t="s">
        <v>23</v>
      </c>
      <c r="O11" s="25"/>
      <c r="Q11" s="24"/>
      <c r="R11">
        <v>2.5</v>
      </c>
      <c r="S11" t="s">
        <v>31</v>
      </c>
      <c r="V11" s="25"/>
    </row>
    <row r="12" spans="1:39" x14ac:dyDescent="0.25">
      <c r="B12" s="24"/>
      <c r="D12" s="20" t="s">
        <v>24</v>
      </c>
      <c r="E12" s="20"/>
      <c r="F12" s="20"/>
      <c r="G12" s="20"/>
      <c r="H12" s="20"/>
      <c r="I12" s="20"/>
      <c r="J12" s="20"/>
      <c r="O12" s="25"/>
      <c r="Q12" s="24"/>
      <c r="R12" s="30">
        <v>1.5</v>
      </c>
      <c r="S12" t="s">
        <v>32</v>
      </c>
      <c r="V12" s="25"/>
    </row>
    <row r="13" spans="1:39" x14ac:dyDescent="0.25">
      <c r="B13" s="24"/>
      <c r="D13" s="20" t="s">
        <v>26</v>
      </c>
      <c r="E13" s="20"/>
      <c r="F13" s="20"/>
      <c r="G13" s="20"/>
      <c r="H13" s="20"/>
      <c r="I13" s="20"/>
      <c r="J13" s="20"/>
      <c r="O13" s="25"/>
      <c r="Q13" s="24"/>
      <c r="R13">
        <f>SUM(R11:R12)</f>
        <v>4</v>
      </c>
      <c r="S13" t="s">
        <v>33</v>
      </c>
      <c r="V13" s="25"/>
    </row>
    <row r="14" spans="1:39" x14ac:dyDescent="0.25">
      <c r="B14" s="24"/>
      <c r="D14" s="20" t="s">
        <v>25</v>
      </c>
      <c r="E14" s="20"/>
      <c r="F14" s="20"/>
      <c r="G14" s="20"/>
      <c r="H14" s="20"/>
      <c r="I14" s="20"/>
      <c r="J14" s="20"/>
      <c r="O14" s="25"/>
      <c r="Q14" s="24"/>
      <c r="V14" s="25"/>
    </row>
    <row r="15" spans="1:39" x14ac:dyDescent="0.25">
      <c r="B15" s="24"/>
      <c r="D15" s="3" t="s">
        <v>27</v>
      </c>
      <c r="E15" s="3"/>
      <c r="F15" s="3"/>
      <c r="G15" s="3"/>
      <c r="H15" s="3"/>
      <c r="I15" s="3"/>
      <c r="J15" s="3"/>
      <c r="O15" s="25"/>
      <c r="Q15" s="24"/>
      <c r="V15" s="25"/>
    </row>
    <row r="16" spans="1:39" x14ac:dyDescent="0.25">
      <c r="B16" s="24"/>
      <c r="D16" s="3" t="s">
        <v>28</v>
      </c>
      <c r="E16" s="3"/>
      <c r="F16" s="3"/>
      <c r="G16" s="3"/>
      <c r="H16" s="3"/>
      <c r="I16" s="3"/>
      <c r="J16" s="3"/>
      <c r="O16" s="25"/>
      <c r="Q16" s="24"/>
      <c r="V16" s="25"/>
    </row>
    <row r="17" spans="1:22" x14ac:dyDescent="0.25">
      <c r="B17" s="26"/>
      <c r="C17" s="27"/>
      <c r="D17" s="28" t="s">
        <v>29</v>
      </c>
      <c r="E17" s="28"/>
      <c r="F17" s="28"/>
      <c r="G17" s="28"/>
      <c r="H17" s="28"/>
      <c r="I17" s="28"/>
      <c r="J17" s="28"/>
      <c r="K17" s="27"/>
      <c r="L17" s="27"/>
      <c r="M17" s="27"/>
      <c r="N17" s="27"/>
      <c r="O17" s="29"/>
      <c r="Q17" s="26"/>
      <c r="R17" s="27"/>
      <c r="S17" s="27"/>
      <c r="T17" s="27"/>
      <c r="U17" s="27"/>
      <c r="V17" s="29"/>
    </row>
    <row r="18" spans="1:22" x14ac:dyDescent="0.25">
      <c r="B18" s="2"/>
      <c r="K18" s="3"/>
    </row>
    <row r="19" spans="1:22" x14ac:dyDescent="0.25">
      <c r="B19" s="1"/>
    </row>
    <row r="20" spans="1:22" x14ac:dyDescent="0.25">
      <c r="B20" s="20" t="s">
        <v>35</v>
      </c>
    </row>
    <row r="21" spans="1:22" x14ac:dyDescent="0.25">
      <c r="B21" s="20"/>
    </row>
    <row r="22" spans="1:22" x14ac:dyDescent="0.25">
      <c r="A22" s="83"/>
      <c r="B22" s="85">
        <v>0.12</v>
      </c>
    </row>
    <row r="23" spans="1:22" x14ac:dyDescent="0.25">
      <c r="A23" s="83"/>
      <c r="B23" s="85">
        <v>1</v>
      </c>
    </row>
    <row r="24" spans="1:22" x14ac:dyDescent="0.25">
      <c r="A24" s="83">
        <v>1</v>
      </c>
      <c r="B24" s="86">
        <f>B23+B$22</f>
        <v>1.1200000000000001</v>
      </c>
      <c r="L24" s="21"/>
      <c r="M24" s="31" t="s">
        <v>38</v>
      </c>
      <c r="N24" s="32">
        <f>B24</f>
        <v>1.1200000000000001</v>
      </c>
      <c r="O24" s="32">
        <f>B25</f>
        <v>1.2400000000000002</v>
      </c>
      <c r="P24" s="32">
        <f>B26</f>
        <v>1.3600000000000003</v>
      </c>
      <c r="Q24" s="32">
        <f>B27</f>
        <v>1.4800000000000004</v>
      </c>
      <c r="R24" s="32">
        <f>B28</f>
        <v>1.6000000000000005</v>
      </c>
      <c r="S24" s="33"/>
    </row>
    <row r="25" spans="1:22" x14ac:dyDescent="0.25">
      <c r="A25" s="83">
        <v>2</v>
      </c>
      <c r="B25" s="86">
        <f t="shared" ref="B25:B29" si="0">B24+B$22</f>
        <v>1.2400000000000002</v>
      </c>
      <c r="L25" s="34"/>
      <c r="M25" s="35">
        <v>1</v>
      </c>
      <c r="N25" s="35">
        <v>2</v>
      </c>
      <c r="O25" s="35">
        <v>3</v>
      </c>
      <c r="P25" s="35">
        <v>4</v>
      </c>
      <c r="Q25" s="35">
        <v>5</v>
      </c>
      <c r="R25" s="35">
        <v>6</v>
      </c>
      <c r="S25" s="36"/>
    </row>
    <row r="26" spans="1:22" x14ac:dyDescent="0.25">
      <c r="A26" s="83">
        <v>3</v>
      </c>
      <c r="B26" s="86">
        <f t="shared" si="0"/>
        <v>1.3600000000000003</v>
      </c>
      <c r="L26" s="24"/>
      <c r="M26" s="37">
        <v>0.437</v>
      </c>
      <c r="N26" s="11">
        <f>$M26*N24</f>
        <v>0.48944000000000004</v>
      </c>
      <c r="O26" s="11">
        <f>$M26*O24</f>
        <v>0.54188000000000014</v>
      </c>
      <c r="P26" s="11">
        <f>$M26*P24</f>
        <v>0.59432000000000018</v>
      </c>
      <c r="Q26" s="11">
        <f>$M26*Q24</f>
        <v>0.64676000000000022</v>
      </c>
      <c r="R26" s="11">
        <f>$M26*R24</f>
        <v>0.69920000000000027</v>
      </c>
      <c r="S26" s="36" t="s">
        <v>39</v>
      </c>
    </row>
    <row r="27" spans="1:22" x14ac:dyDescent="0.25">
      <c r="A27" s="83">
        <v>4</v>
      </c>
      <c r="B27" s="86">
        <f t="shared" si="0"/>
        <v>1.4800000000000004</v>
      </c>
      <c r="L27" s="26"/>
      <c r="M27" s="38">
        <f t="shared" ref="M27:R27" si="1">M26</f>
        <v>0.437</v>
      </c>
      <c r="N27" s="38">
        <f t="shared" si="1"/>
        <v>0.48944000000000004</v>
      </c>
      <c r="O27" s="38">
        <f t="shared" si="1"/>
        <v>0.54188000000000014</v>
      </c>
      <c r="P27" s="38">
        <f t="shared" si="1"/>
        <v>0.59432000000000018</v>
      </c>
      <c r="Q27" s="38">
        <f t="shared" si="1"/>
        <v>0.64676000000000022</v>
      </c>
      <c r="R27" s="38">
        <f t="shared" si="1"/>
        <v>0.69920000000000027</v>
      </c>
      <c r="S27" s="39" t="s">
        <v>42</v>
      </c>
    </row>
    <row r="28" spans="1:22" x14ac:dyDescent="0.25">
      <c r="A28" s="83">
        <v>5</v>
      </c>
      <c r="B28" s="86">
        <f t="shared" si="0"/>
        <v>1.6000000000000005</v>
      </c>
    </row>
    <row r="29" spans="1:22" x14ac:dyDescent="0.25">
      <c r="A29" s="83">
        <v>6</v>
      </c>
      <c r="B29" s="86">
        <f t="shared" si="0"/>
        <v>1.7200000000000006</v>
      </c>
      <c r="D29" t="s">
        <v>72</v>
      </c>
    </row>
    <row r="30" spans="1:22" x14ac:dyDescent="0.25">
      <c r="A30" s="83"/>
      <c r="B30" s="86"/>
      <c r="F30" s="40" t="s">
        <v>68</v>
      </c>
      <c r="G30" s="22"/>
      <c r="H30" s="22"/>
      <c r="I30" s="22"/>
      <c r="J30" s="200" t="s">
        <v>145</v>
      </c>
      <c r="K30" s="22"/>
      <c r="L30" s="22"/>
      <c r="M30" s="22"/>
      <c r="N30" s="22"/>
      <c r="O30" s="22"/>
      <c r="P30" s="22"/>
      <c r="Q30" s="55" t="s">
        <v>45</v>
      </c>
      <c r="R30" s="23"/>
    </row>
    <row r="31" spans="1:22" x14ac:dyDescent="0.25">
      <c r="A31" s="83"/>
      <c r="B31" s="86"/>
      <c r="F31" s="183"/>
      <c r="J31" s="201" t="s">
        <v>146</v>
      </c>
      <c r="Q31" s="186"/>
      <c r="R31" s="25"/>
    </row>
    <row r="32" spans="1:22" x14ac:dyDescent="0.25">
      <c r="A32" s="83"/>
      <c r="B32" s="86"/>
      <c r="F32" s="183"/>
      <c r="J32" s="201" t="s">
        <v>155</v>
      </c>
      <c r="Q32" s="186"/>
      <c r="R32" s="25"/>
    </row>
    <row r="33" spans="1:24" x14ac:dyDescent="0.25">
      <c r="A33" s="83"/>
      <c r="B33" s="86"/>
      <c r="F33" s="183"/>
      <c r="J33" s="202" t="s">
        <v>156</v>
      </c>
      <c r="Q33" s="186"/>
      <c r="R33" s="25"/>
    </row>
    <row r="34" spans="1:24" x14ac:dyDescent="0.25">
      <c r="A34" s="83"/>
      <c r="B34" s="20"/>
      <c r="F34" s="24"/>
      <c r="R34" s="25"/>
    </row>
    <row r="35" spans="1:24" x14ac:dyDescent="0.25">
      <c r="A35" s="83"/>
      <c r="F35" s="41"/>
      <c r="G35" s="42" t="s">
        <v>58</v>
      </c>
      <c r="H35" s="42" t="s">
        <v>59</v>
      </c>
      <c r="I35" s="42" t="s">
        <v>60</v>
      </c>
      <c r="J35" s="178" t="s">
        <v>61</v>
      </c>
      <c r="K35" s="178" t="s">
        <v>62</v>
      </c>
      <c r="L35" s="178" t="s">
        <v>63</v>
      </c>
      <c r="M35" s="178" t="s">
        <v>40</v>
      </c>
      <c r="N35" s="178" t="s">
        <v>64</v>
      </c>
      <c r="O35" s="178" t="s">
        <v>65</v>
      </c>
      <c r="P35" s="178" t="s">
        <v>66</v>
      </c>
      <c r="Q35" s="178" t="s">
        <v>67</v>
      </c>
      <c r="R35" s="175" t="s">
        <v>41</v>
      </c>
      <c r="S35" s="176"/>
      <c r="T35" s="177"/>
    </row>
    <row r="36" spans="1:24" x14ac:dyDescent="0.25">
      <c r="A36" s="83"/>
      <c r="C36" s="73" t="s">
        <v>34</v>
      </c>
      <c r="F36" s="44"/>
      <c r="G36" s="4">
        <v>-5</v>
      </c>
      <c r="H36" s="4">
        <v>-4</v>
      </c>
      <c r="I36" s="4">
        <v>-3</v>
      </c>
      <c r="J36" s="4">
        <v>-2</v>
      </c>
      <c r="K36" s="4">
        <v>-1</v>
      </c>
      <c r="L36" s="4">
        <v>0</v>
      </c>
      <c r="M36" s="4">
        <v>1</v>
      </c>
      <c r="N36" s="4">
        <v>2</v>
      </c>
      <c r="O36" s="4">
        <v>3</v>
      </c>
      <c r="P36" s="4">
        <v>4</v>
      </c>
      <c r="Q36" s="4">
        <v>5</v>
      </c>
      <c r="R36" s="45">
        <v>6</v>
      </c>
      <c r="T36" s="4">
        <v>1</v>
      </c>
      <c r="U36" s="4">
        <v>6</v>
      </c>
    </row>
    <row r="37" spans="1:24" x14ac:dyDescent="0.25">
      <c r="A37" s="83"/>
      <c r="B37" s="4"/>
      <c r="C37" s="4" t="s">
        <v>10</v>
      </c>
      <c r="D37" s="87" t="s">
        <v>37</v>
      </c>
      <c r="E37" s="73"/>
      <c r="F37" s="24"/>
      <c r="N37" s="46" t="s">
        <v>43</v>
      </c>
      <c r="R37" s="25"/>
    </row>
    <row r="38" spans="1:24" x14ac:dyDescent="0.25">
      <c r="A38" s="83"/>
      <c r="B38" s="4" t="s">
        <v>9</v>
      </c>
      <c r="C38" s="88" t="s">
        <v>36</v>
      </c>
      <c r="D38" s="89">
        <v>-0.02</v>
      </c>
      <c r="E38" s="74"/>
      <c r="F38" s="24"/>
      <c r="G38" s="47"/>
      <c r="H38" s="47"/>
      <c r="I38" s="47"/>
      <c r="J38" s="47"/>
      <c r="K38" s="47"/>
      <c r="L38" s="47"/>
      <c r="M38" s="47">
        <f>M26</f>
        <v>0.437</v>
      </c>
      <c r="N38" s="47">
        <f>N26</f>
        <v>0.48944000000000004</v>
      </c>
      <c r="O38" s="47">
        <f t="shared" ref="O38:R38" si="2">O26</f>
        <v>0.54188000000000014</v>
      </c>
      <c r="P38" s="47">
        <f t="shared" si="2"/>
        <v>0.59432000000000018</v>
      </c>
      <c r="Q38" s="47">
        <f t="shared" si="2"/>
        <v>0.64676000000000022</v>
      </c>
      <c r="R38" s="48">
        <f t="shared" si="2"/>
        <v>0.69920000000000027</v>
      </c>
    </row>
    <row r="39" spans="1:24" x14ac:dyDescent="0.25">
      <c r="A39" s="83"/>
      <c r="B39" s="4">
        <v>1</v>
      </c>
      <c r="C39" s="6">
        <v>0.78</v>
      </c>
      <c r="D39" s="6">
        <f t="shared" ref="D39:D50" si="3">C39+$D$38</f>
        <v>0.76</v>
      </c>
      <c r="E39" s="1"/>
      <c r="F39" s="49">
        <f t="shared" ref="F39:F49" si="4">M39/M40</f>
        <v>0.91041666666666665</v>
      </c>
      <c r="G39" s="13">
        <f>($W39*G$36)+$X39</f>
        <v>0.12235999999999986</v>
      </c>
      <c r="H39" s="13">
        <f t="shared" ref="H39:K39" si="5">($W39*H$36)+$X39</f>
        <v>0.17479999999999987</v>
      </c>
      <c r="I39" s="13">
        <f t="shared" si="5"/>
        <v>0.22723999999999991</v>
      </c>
      <c r="J39" s="13">
        <f t="shared" si="5"/>
        <v>0.27967999999999993</v>
      </c>
      <c r="K39" s="13">
        <f t="shared" si="5"/>
        <v>0.33211999999999997</v>
      </c>
      <c r="L39" s="13">
        <f>($W39*L$36)+$X39</f>
        <v>0.38456000000000001</v>
      </c>
      <c r="M39" s="62">
        <v>0.437</v>
      </c>
      <c r="N39" s="13">
        <f>($W39*N$36)+$X39</f>
        <v>0.4894400000000001</v>
      </c>
      <c r="O39" s="13">
        <f t="shared" ref="O39:Q50" si="6">($W39*O$36)+$X39</f>
        <v>0.54188000000000014</v>
      </c>
      <c r="P39" s="13">
        <f t="shared" si="6"/>
        <v>0.59432000000000018</v>
      </c>
      <c r="Q39" s="13">
        <f t="shared" si="6"/>
        <v>0.64676000000000022</v>
      </c>
      <c r="R39" s="76">
        <f>R26</f>
        <v>0.69920000000000027</v>
      </c>
      <c r="S39" s="11"/>
      <c r="T39" s="1">
        <f>M39</f>
        <v>0.437</v>
      </c>
      <c r="U39" s="1">
        <f t="shared" ref="U39:U50" si="7">R39</f>
        <v>0.69920000000000027</v>
      </c>
      <c r="V39" s="90" t="s">
        <v>44</v>
      </c>
      <c r="W39" s="91">
        <f>INDEX(LINEST(T39:U39,(T$36:U$36)^{1}),1)</f>
        <v>5.2440000000000035E-2</v>
      </c>
      <c r="X39" s="91">
        <f>INDEX(LINEST(T39:U39,(T$36:U$36)^{1}),1,2)</f>
        <v>0.38456000000000001</v>
      </c>
    </row>
    <row r="40" spans="1:24" x14ac:dyDescent="0.25">
      <c r="A40" s="83"/>
      <c r="B40" s="4">
        <v>2</v>
      </c>
      <c r="C40" s="1">
        <v>0.56999999999999995</v>
      </c>
      <c r="D40" s="1">
        <f t="shared" si="3"/>
        <v>0.54999999999999993</v>
      </c>
      <c r="E40" s="1"/>
      <c r="F40" s="49">
        <f t="shared" si="4"/>
        <v>0.9213051823416506</v>
      </c>
      <c r="G40" s="12">
        <f t="shared" ref="G40:N50" si="8">($W40*G$36)+$X40</f>
        <v>0.21695999999999968</v>
      </c>
      <c r="H40" s="12">
        <f t="shared" si="8"/>
        <v>0.2607999999999997</v>
      </c>
      <c r="I40" s="12">
        <f t="shared" si="8"/>
        <v>0.3046399999999998</v>
      </c>
      <c r="J40" s="12">
        <f t="shared" si="8"/>
        <v>0.34847999999999985</v>
      </c>
      <c r="K40" s="12">
        <f t="shared" si="8"/>
        <v>0.39231999999999989</v>
      </c>
      <c r="L40" s="12">
        <f t="shared" si="8"/>
        <v>0.43615999999999994</v>
      </c>
      <c r="M40" s="37">
        <v>0.48</v>
      </c>
      <c r="N40" s="12">
        <f t="shared" si="8"/>
        <v>0.52384000000000008</v>
      </c>
      <c r="O40" s="12">
        <f t="shared" si="6"/>
        <v>0.56768000000000007</v>
      </c>
      <c r="P40" s="12">
        <f t="shared" si="6"/>
        <v>0.61152000000000017</v>
      </c>
      <c r="Q40" s="12">
        <f t="shared" si="6"/>
        <v>0.65536000000000016</v>
      </c>
      <c r="R40" s="50">
        <f t="shared" ref="R40:R50" si="9">R$26</f>
        <v>0.69920000000000027</v>
      </c>
      <c r="T40" s="1">
        <f t="shared" ref="T40:T50" si="10">M40</f>
        <v>0.48</v>
      </c>
      <c r="U40" s="1">
        <f t="shared" si="7"/>
        <v>0.69920000000000027</v>
      </c>
      <c r="V40" s="90" t="s">
        <v>44</v>
      </c>
      <c r="W40" s="91">
        <f>INDEX(LINEST(T40:U40,(T$36:U$36)^{1}),1)</f>
        <v>4.3840000000000053E-2</v>
      </c>
      <c r="X40" s="91">
        <f>INDEX(LINEST(T40:U40,(T$36:U$36)^{1}),1,2)</f>
        <v>0.43615999999999994</v>
      </c>
    </row>
    <row r="41" spans="1:24" x14ac:dyDescent="0.25">
      <c r="A41" s="83"/>
      <c r="B41" s="4">
        <v>3</v>
      </c>
      <c r="C41" s="5">
        <v>0.54</v>
      </c>
      <c r="D41" s="5">
        <f t="shared" si="3"/>
        <v>0.52</v>
      </c>
      <c r="E41" s="1"/>
      <c r="F41" s="49">
        <f t="shared" si="4"/>
        <v>0.93705035971223016</v>
      </c>
      <c r="G41" s="14">
        <f t="shared" si="8"/>
        <v>0.30715999999999966</v>
      </c>
      <c r="H41" s="14">
        <f t="shared" si="8"/>
        <v>0.34279999999999972</v>
      </c>
      <c r="I41" s="14">
        <f t="shared" si="8"/>
        <v>0.37843999999999978</v>
      </c>
      <c r="J41" s="14">
        <f t="shared" si="8"/>
        <v>0.41407999999999978</v>
      </c>
      <c r="K41" s="14">
        <f t="shared" si="8"/>
        <v>0.44971999999999984</v>
      </c>
      <c r="L41" s="14">
        <f t="shared" si="8"/>
        <v>0.4853599999999999</v>
      </c>
      <c r="M41" s="66">
        <v>0.52100000000000002</v>
      </c>
      <c r="N41" s="14">
        <f t="shared" si="8"/>
        <v>0.55664000000000002</v>
      </c>
      <c r="O41" s="14">
        <f t="shared" si="6"/>
        <v>0.59228000000000003</v>
      </c>
      <c r="P41" s="14">
        <f t="shared" si="6"/>
        <v>0.62792000000000003</v>
      </c>
      <c r="Q41" s="14">
        <f t="shared" si="6"/>
        <v>0.66356000000000015</v>
      </c>
      <c r="R41" s="51">
        <f t="shared" si="9"/>
        <v>0.69920000000000027</v>
      </c>
      <c r="T41" s="1">
        <f t="shared" si="10"/>
        <v>0.52100000000000002</v>
      </c>
      <c r="U41" s="1">
        <f t="shared" si="7"/>
        <v>0.69920000000000027</v>
      </c>
      <c r="V41" s="90" t="s">
        <v>44</v>
      </c>
      <c r="W41" s="91">
        <f>INDEX(LINEST(T41:U41,(T$36:U$36)^{1}),1)</f>
        <v>3.5640000000000047E-2</v>
      </c>
      <c r="X41" s="91">
        <f>INDEX(LINEST(T41:U41,(T$36:U$36)^{1}),1,2)</f>
        <v>0.4853599999999999</v>
      </c>
    </row>
    <row r="42" spans="1:24" x14ac:dyDescent="0.25">
      <c r="A42" s="83"/>
      <c r="B42" s="4">
        <v>4</v>
      </c>
      <c r="C42" s="1">
        <v>0.53</v>
      </c>
      <c r="D42" s="1">
        <f t="shared" si="3"/>
        <v>0.51</v>
      </c>
      <c r="E42" s="1"/>
      <c r="F42" s="49">
        <f t="shared" si="4"/>
        <v>0.9504273504273506</v>
      </c>
      <c r="G42" s="12">
        <f t="shared" si="8"/>
        <v>0.38415999999999983</v>
      </c>
      <c r="H42" s="12">
        <f t="shared" si="8"/>
        <v>0.41279999999999989</v>
      </c>
      <c r="I42" s="12">
        <f t="shared" si="8"/>
        <v>0.44143999999999994</v>
      </c>
      <c r="J42" s="12">
        <f t="shared" si="8"/>
        <v>0.47007999999999994</v>
      </c>
      <c r="K42" s="12">
        <f t="shared" si="8"/>
        <v>0.49872</v>
      </c>
      <c r="L42" s="12">
        <f t="shared" si="8"/>
        <v>0.52736000000000005</v>
      </c>
      <c r="M42" s="37">
        <v>0.55600000000000005</v>
      </c>
      <c r="N42" s="12">
        <f t="shared" si="8"/>
        <v>0.58464000000000016</v>
      </c>
      <c r="O42" s="12">
        <f t="shared" si="6"/>
        <v>0.61328000000000016</v>
      </c>
      <c r="P42" s="12">
        <f t="shared" si="6"/>
        <v>0.64192000000000027</v>
      </c>
      <c r="Q42" s="12">
        <f t="shared" si="6"/>
        <v>0.67056000000000027</v>
      </c>
      <c r="R42" s="50">
        <f t="shared" si="9"/>
        <v>0.69920000000000027</v>
      </c>
      <c r="T42" s="1">
        <f t="shared" si="10"/>
        <v>0.55600000000000005</v>
      </c>
      <c r="U42" s="1">
        <f t="shared" si="7"/>
        <v>0.69920000000000027</v>
      </c>
      <c r="V42" s="90" t="s">
        <v>44</v>
      </c>
      <c r="W42" s="91">
        <f>INDEX(LINEST(T42:U42,(T$36:U$36)^{1}),1)</f>
        <v>2.864000000000004E-2</v>
      </c>
      <c r="X42" s="91">
        <f>INDEX(LINEST(T42:U42,(T$36:U$36)^{1}),1,2)</f>
        <v>0.52736000000000005</v>
      </c>
    </row>
    <row r="43" spans="1:24" x14ac:dyDescent="0.25">
      <c r="A43" s="83"/>
      <c r="B43" s="4">
        <v>5</v>
      </c>
      <c r="C43" s="1">
        <v>0.56000000000000005</v>
      </c>
      <c r="D43" s="1">
        <f t="shared" si="3"/>
        <v>0.54</v>
      </c>
      <c r="E43" s="1"/>
      <c r="F43" s="49">
        <f t="shared" si="4"/>
        <v>0.93599999999999994</v>
      </c>
      <c r="G43" s="12">
        <f t="shared" si="8"/>
        <v>0.44795999999999958</v>
      </c>
      <c r="H43" s="12">
        <f t="shared" si="8"/>
        <v>0.47079999999999966</v>
      </c>
      <c r="I43" s="12">
        <f t="shared" si="8"/>
        <v>0.49363999999999969</v>
      </c>
      <c r="J43" s="12">
        <f t="shared" si="8"/>
        <v>0.51647999999999972</v>
      </c>
      <c r="K43" s="12">
        <f t="shared" si="8"/>
        <v>0.5393199999999998</v>
      </c>
      <c r="L43" s="12">
        <f t="shared" si="8"/>
        <v>0.56215999999999988</v>
      </c>
      <c r="M43" s="37">
        <v>0.58499999999999996</v>
      </c>
      <c r="N43" s="12">
        <f t="shared" si="8"/>
        <v>0.60784000000000005</v>
      </c>
      <c r="O43" s="12">
        <f t="shared" si="6"/>
        <v>0.63068000000000002</v>
      </c>
      <c r="P43" s="12">
        <f t="shared" si="6"/>
        <v>0.6535200000000001</v>
      </c>
      <c r="Q43" s="12">
        <f t="shared" si="6"/>
        <v>0.67636000000000018</v>
      </c>
      <c r="R43" s="50">
        <f t="shared" si="9"/>
        <v>0.69920000000000027</v>
      </c>
      <c r="T43" s="1">
        <f t="shared" si="10"/>
        <v>0.58499999999999996</v>
      </c>
      <c r="U43" s="1">
        <f t="shared" si="7"/>
        <v>0.69920000000000027</v>
      </c>
      <c r="V43" s="90" t="s">
        <v>44</v>
      </c>
      <c r="W43" s="91">
        <f>INDEX(LINEST(T43:U43,(T$36:U$36)^{1}),1)</f>
        <v>2.2840000000000058E-2</v>
      </c>
      <c r="X43" s="91">
        <f>INDEX(LINEST(T43:U43,(T$36:U$36)^{1}),1,2)</f>
        <v>0.56215999999999988</v>
      </c>
    </row>
    <row r="44" spans="1:24" x14ac:dyDescent="0.25">
      <c r="A44" s="83"/>
      <c r="B44" s="4">
        <v>10</v>
      </c>
      <c r="C44" s="5">
        <v>0.64</v>
      </c>
      <c r="D44" s="5">
        <f t="shared" si="3"/>
        <v>0.62</v>
      </c>
      <c r="E44" s="1"/>
      <c r="F44" s="49">
        <f t="shared" si="4"/>
        <v>0.96153846153846145</v>
      </c>
      <c r="G44" s="14">
        <f t="shared" si="8"/>
        <v>0.53595999999999966</v>
      </c>
      <c r="H44" s="14">
        <f t="shared" si="8"/>
        <v>0.55079999999999973</v>
      </c>
      <c r="I44" s="14">
        <f t="shared" si="8"/>
        <v>0.56563999999999981</v>
      </c>
      <c r="J44" s="14">
        <f t="shared" si="8"/>
        <v>0.58047999999999988</v>
      </c>
      <c r="K44" s="14">
        <f t="shared" si="8"/>
        <v>0.59531999999999985</v>
      </c>
      <c r="L44" s="14">
        <f t="shared" si="8"/>
        <v>0.61015999999999992</v>
      </c>
      <c r="M44" s="66">
        <v>0.625</v>
      </c>
      <c r="N44" s="14">
        <f t="shared" si="8"/>
        <v>0.63983999999999996</v>
      </c>
      <c r="O44" s="14">
        <f t="shared" si="6"/>
        <v>0.65468000000000004</v>
      </c>
      <c r="P44" s="14">
        <f t="shared" si="6"/>
        <v>0.66952000000000012</v>
      </c>
      <c r="Q44" s="14">
        <f t="shared" si="6"/>
        <v>0.68436000000000019</v>
      </c>
      <c r="R44" s="51">
        <f t="shared" si="9"/>
        <v>0.69920000000000027</v>
      </c>
      <c r="T44" s="1">
        <f t="shared" si="10"/>
        <v>0.625</v>
      </c>
      <c r="U44" s="1">
        <f t="shared" si="7"/>
        <v>0.69920000000000027</v>
      </c>
      <c r="V44" s="90" t="s">
        <v>44</v>
      </c>
      <c r="W44" s="91">
        <f>INDEX(LINEST(T44:U44,(T$36:U$36)^{1}),1)</f>
        <v>1.4840000000000048E-2</v>
      </c>
      <c r="X44" s="91">
        <f>INDEX(LINEST(T44:U44,(T$36:U$36)^{1}),1,2)</f>
        <v>0.61015999999999992</v>
      </c>
    </row>
    <row r="45" spans="1:24" x14ac:dyDescent="0.25">
      <c r="A45" s="83"/>
      <c r="B45" s="4">
        <v>20</v>
      </c>
      <c r="C45" s="1">
        <v>0.66</v>
      </c>
      <c r="D45" s="1">
        <f t="shared" si="3"/>
        <v>0.64</v>
      </c>
      <c r="E45" s="1"/>
      <c r="F45" s="49">
        <f t="shared" si="4"/>
        <v>0.98484848484848486</v>
      </c>
      <c r="G45" s="12">
        <f t="shared" si="8"/>
        <v>0.59095999999999971</v>
      </c>
      <c r="H45" s="12">
        <f t="shared" si="8"/>
        <v>0.60079999999999978</v>
      </c>
      <c r="I45" s="12">
        <f t="shared" si="8"/>
        <v>0.61063999999999985</v>
      </c>
      <c r="J45" s="12">
        <f t="shared" si="8"/>
        <v>0.62047999999999981</v>
      </c>
      <c r="K45" s="12">
        <f t="shared" si="8"/>
        <v>0.63031999999999988</v>
      </c>
      <c r="L45" s="12">
        <f t="shared" si="8"/>
        <v>0.64015999999999995</v>
      </c>
      <c r="M45" s="37">
        <v>0.65</v>
      </c>
      <c r="N45" s="12">
        <f t="shared" si="8"/>
        <v>0.65984000000000009</v>
      </c>
      <c r="O45" s="12">
        <f t="shared" si="6"/>
        <v>0.66968000000000005</v>
      </c>
      <c r="P45" s="12">
        <f t="shared" si="6"/>
        <v>0.67952000000000012</v>
      </c>
      <c r="Q45" s="12">
        <f t="shared" si="6"/>
        <v>0.68936000000000019</v>
      </c>
      <c r="R45" s="50">
        <f t="shared" si="9"/>
        <v>0.69920000000000027</v>
      </c>
      <c r="T45" s="1">
        <f t="shared" si="10"/>
        <v>0.65</v>
      </c>
      <c r="U45" s="1">
        <f t="shared" si="7"/>
        <v>0.69920000000000027</v>
      </c>
      <c r="V45" s="90" t="s">
        <v>44</v>
      </c>
      <c r="W45" s="91">
        <f>INDEX(LINEST(T45:U45,(T$36:U$36)^{1}),1)</f>
        <v>9.8400000000000449E-3</v>
      </c>
      <c r="X45" s="91">
        <f>INDEX(LINEST(T45:U45,(T$36:U$36)^{1}),1,2)</f>
        <v>0.64015999999999995</v>
      </c>
    </row>
    <row r="46" spans="1:24" x14ac:dyDescent="0.25">
      <c r="A46" s="83"/>
      <c r="B46" s="4">
        <v>30</v>
      </c>
      <c r="C46" s="1">
        <v>0.68</v>
      </c>
      <c r="D46" s="1">
        <f t="shared" si="3"/>
        <v>0.66</v>
      </c>
      <c r="E46" s="1"/>
      <c r="F46" s="49">
        <f t="shared" si="4"/>
        <v>0.9850746268656716</v>
      </c>
      <c r="G46" s="12">
        <f t="shared" si="8"/>
        <v>0.61295999999999984</v>
      </c>
      <c r="H46" s="12">
        <f t="shared" si="8"/>
        <v>0.62079999999999991</v>
      </c>
      <c r="I46" s="12">
        <f t="shared" si="8"/>
        <v>0.62863999999999998</v>
      </c>
      <c r="J46" s="12">
        <f t="shared" si="8"/>
        <v>0.63647999999999993</v>
      </c>
      <c r="K46" s="12">
        <f t="shared" si="8"/>
        <v>0.64432</v>
      </c>
      <c r="L46" s="12">
        <f t="shared" si="8"/>
        <v>0.65216000000000007</v>
      </c>
      <c r="M46" s="37">
        <v>0.66</v>
      </c>
      <c r="N46" s="12">
        <f t="shared" si="8"/>
        <v>0.66784000000000021</v>
      </c>
      <c r="O46" s="12">
        <f t="shared" si="6"/>
        <v>0.67568000000000017</v>
      </c>
      <c r="P46" s="12">
        <f t="shared" si="6"/>
        <v>0.68352000000000024</v>
      </c>
      <c r="Q46" s="12">
        <f t="shared" si="6"/>
        <v>0.69136000000000031</v>
      </c>
      <c r="R46" s="50">
        <f t="shared" si="9"/>
        <v>0.69920000000000027</v>
      </c>
      <c r="T46" s="1">
        <f t="shared" si="10"/>
        <v>0.66</v>
      </c>
      <c r="U46" s="1">
        <f t="shared" si="7"/>
        <v>0.69920000000000027</v>
      </c>
      <c r="V46" s="90" t="s">
        <v>44</v>
      </c>
      <c r="W46" s="91">
        <f>INDEX(LINEST(T46:U46,(T$36:U$36)^{1}),1)</f>
        <v>7.8400000000000431E-3</v>
      </c>
      <c r="X46" s="91">
        <f>INDEX(LINEST(T46:U46,(T$36:U$36)^{1}),1,2)</f>
        <v>0.65216000000000007</v>
      </c>
    </row>
    <row r="47" spans="1:24" x14ac:dyDescent="0.25">
      <c r="A47" s="83"/>
      <c r="B47" s="4">
        <v>40</v>
      </c>
      <c r="C47" s="1">
        <v>0.69</v>
      </c>
      <c r="D47" s="1">
        <f t="shared" si="3"/>
        <v>0.66999999999999993</v>
      </c>
      <c r="E47" s="1"/>
      <c r="F47" s="49">
        <f t="shared" si="4"/>
        <v>0.98529411764705876</v>
      </c>
      <c r="G47" s="12">
        <f t="shared" si="8"/>
        <v>0.63495999999999975</v>
      </c>
      <c r="H47" s="12">
        <f t="shared" si="8"/>
        <v>0.64079999999999981</v>
      </c>
      <c r="I47" s="12">
        <f t="shared" si="8"/>
        <v>0.64663999999999988</v>
      </c>
      <c r="J47" s="12">
        <f t="shared" si="8"/>
        <v>0.65247999999999984</v>
      </c>
      <c r="K47" s="12">
        <f t="shared" si="8"/>
        <v>0.65831999999999991</v>
      </c>
      <c r="L47" s="12">
        <f t="shared" si="8"/>
        <v>0.66415999999999997</v>
      </c>
      <c r="M47" s="37">
        <v>0.67</v>
      </c>
      <c r="N47" s="12">
        <f t="shared" si="8"/>
        <v>0.67584000000000011</v>
      </c>
      <c r="O47" s="12">
        <f t="shared" si="6"/>
        <v>0.68168000000000006</v>
      </c>
      <c r="P47" s="12">
        <f t="shared" si="6"/>
        <v>0.68752000000000013</v>
      </c>
      <c r="Q47" s="12">
        <f t="shared" si="6"/>
        <v>0.6933600000000002</v>
      </c>
      <c r="R47" s="50">
        <f t="shared" si="9"/>
        <v>0.69920000000000027</v>
      </c>
      <c r="T47" s="1">
        <f t="shared" si="10"/>
        <v>0.67</v>
      </c>
      <c r="U47" s="1">
        <f t="shared" si="7"/>
        <v>0.69920000000000027</v>
      </c>
      <c r="V47" s="90" t="s">
        <v>44</v>
      </c>
      <c r="W47" s="91">
        <f>INDEX(LINEST(T47:U47,(T$36:U$36)^{1}),1)</f>
        <v>5.8400000000000431E-3</v>
      </c>
      <c r="X47" s="91">
        <f>INDEX(LINEST(T47:U47,(T$36:U$36)^{1}),1,2)</f>
        <v>0.66415999999999997</v>
      </c>
    </row>
    <row r="48" spans="1:24" x14ac:dyDescent="0.25">
      <c r="A48" s="83"/>
      <c r="B48" s="4">
        <v>50</v>
      </c>
      <c r="C48" s="1">
        <v>0.71</v>
      </c>
      <c r="D48" s="1">
        <f t="shared" si="3"/>
        <v>0.69</v>
      </c>
      <c r="E48" s="1"/>
      <c r="F48" s="49">
        <f t="shared" si="4"/>
        <v>0.98550724637681175</v>
      </c>
      <c r="G48" s="12">
        <f t="shared" si="8"/>
        <v>0.65695999999999988</v>
      </c>
      <c r="H48" s="12">
        <f t="shared" si="8"/>
        <v>0.66079999999999994</v>
      </c>
      <c r="I48" s="12">
        <f t="shared" si="8"/>
        <v>0.66464000000000001</v>
      </c>
      <c r="J48" s="12">
        <f t="shared" si="8"/>
        <v>0.66847999999999996</v>
      </c>
      <c r="K48" s="12">
        <f t="shared" si="8"/>
        <v>0.67232000000000003</v>
      </c>
      <c r="L48" s="12">
        <f t="shared" si="8"/>
        <v>0.67616000000000009</v>
      </c>
      <c r="M48" s="37">
        <v>0.68</v>
      </c>
      <c r="N48" s="12">
        <f t="shared" si="8"/>
        <v>0.68384000000000023</v>
      </c>
      <c r="O48" s="12">
        <f t="shared" si="6"/>
        <v>0.68768000000000018</v>
      </c>
      <c r="P48" s="12">
        <f t="shared" si="6"/>
        <v>0.69152000000000025</v>
      </c>
      <c r="Q48" s="12">
        <f t="shared" si="6"/>
        <v>0.69536000000000031</v>
      </c>
      <c r="R48" s="50">
        <f t="shared" si="9"/>
        <v>0.69920000000000027</v>
      </c>
      <c r="T48" s="1">
        <f t="shared" si="10"/>
        <v>0.68</v>
      </c>
      <c r="U48" s="1">
        <f t="shared" si="7"/>
        <v>0.69920000000000027</v>
      </c>
      <c r="V48" s="90" t="s">
        <v>44</v>
      </c>
      <c r="W48" s="91">
        <f>INDEX(LINEST(T48:U48,(T$36:U$36)^{1}),1)</f>
        <v>3.8400000000000426E-3</v>
      </c>
      <c r="X48" s="91">
        <f>INDEX(LINEST(T48:U48,(T$36:U$36)^{1}),1,2)</f>
        <v>0.67616000000000009</v>
      </c>
    </row>
    <row r="49" spans="1:25" x14ac:dyDescent="0.25">
      <c r="A49" s="83"/>
      <c r="B49" s="4">
        <v>60</v>
      </c>
      <c r="C49" s="1">
        <v>0.72</v>
      </c>
      <c r="D49" s="1">
        <f t="shared" si="3"/>
        <v>0.7</v>
      </c>
      <c r="E49" s="1"/>
      <c r="F49" s="49">
        <f t="shared" si="4"/>
        <v>0.98684210526315774</v>
      </c>
      <c r="G49" s="12">
        <f t="shared" si="8"/>
        <v>0.67895999999999956</v>
      </c>
      <c r="H49" s="12">
        <f t="shared" si="8"/>
        <v>0.68079999999999963</v>
      </c>
      <c r="I49" s="12">
        <f t="shared" si="8"/>
        <v>0.68263999999999969</v>
      </c>
      <c r="J49" s="12">
        <f t="shared" si="8"/>
        <v>0.68447999999999976</v>
      </c>
      <c r="K49" s="12">
        <f t="shared" si="8"/>
        <v>0.68631999999999982</v>
      </c>
      <c r="L49" s="12">
        <f t="shared" si="8"/>
        <v>0.68815999999999988</v>
      </c>
      <c r="M49" s="37">
        <v>0.69</v>
      </c>
      <c r="N49" s="12">
        <f t="shared" si="8"/>
        <v>0.69184000000000001</v>
      </c>
      <c r="O49" s="12">
        <f t="shared" si="6"/>
        <v>0.69368000000000007</v>
      </c>
      <c r="P49" s="12">
        <f t="shared" si="6"/>
        <v>0.69552000000000014</v>
      </c>
      <c r="Q49" s="12">
        <f t="shared" si="6"/>
        <v>0.6973600000000002</v>
      </c>
      <c r="R49" s="50">
        <f t="shared" si="9"/>
        <v>0.69920000000000027</v>
      </c>
      <c r="T49" s="1">
        <f t="shared" si="10"/>
        <v>0.69</v>
      </c>
      <c r="U49" s="1">
        <f t="shared" si="7"/>
        <v>0.69920000000000027</v>
      </c>
      <c r="V49" s="90" t="s">
        <v>44</v>
      </c>
      <c r="W49" s="91">
        <f>INDEX(LINEST(T49:U49,(T$36:U$36)^{1}),1)</f>
        <v>1.8400000000000634E-3</v>
      </c>
      <c r="X49" s="91">
        <f>INDEX(LINEST(T49:U49,(T$36:U$36)^{1}),1,2)</f>
        <v>0.68815999999999988</v>
      </c>
    </row>
    <row r="50" spans="1:25" x14ac:dyDescent="0.25">
      <c r="A50" s="83"/>
      <c r="B50" s="4">
        <v>70</v>
      </c>
      <c r="C50" s="5">
        <v>0.72</v>
      </c>
      <c r="D50" s="5">
        <f t="shared" si="3"/>
        <v>0.7</v>
      </c>
      <c r="E50" s="1"/>
      <c r="F50" s="52">
        <f>M50/M50</f>
        <v>1</v>
      </c>
      <c r="G50" s="53">
        <f t="shared" si="8"/>
        <v>0.69919999999999982</v>
      </c>
      <c r="H50" s="53">
        <f t="shared" si="8"/>
        <v>0.69919999999999982</v>
      </c>
      <c r="I50" s="53">
        <f t="shared" si="8"/>
        <v>0.69919999999999993</v>
      </c>
      <c r="J50" s="53">
        <f t="shared" si="8"/>
        <v>0.69919999999999993</v>
      </c>
      <c r="K50" s="53">
        <f t="shared" si="8"/>
        <v>0.69920000000000004</v>
      </c>
      <c r="L50" s="53">
        <f t="shared" si="8"/>
        <v>0.69920000000000004</v>
      </c>
      <c r="M50" s="75">
        <v>0.69920000000000004</v>
      </c>
      <c r="N50" s="53">
        <f t="shared" si="8"/>
        <v>0.69920000000000015</v>
      </c>
      <c r="O50" s="53">
        <f t="shared" si="6"/>
        <v>0.69920000000000015</v>
      </c>
      <c r="P50" s="53">
        <f t="shared" si="6"/>
        <v>0.69920000000000027</v>
      </c>
      <c r="Q50" s="53">
        <f t="shared" si="6"/>
        <v>0.69920000000000027</v>
      </c>
      <c r="R50" s="54">
        <f t="shared" si="9"/>
        <v>0.69920000000000027</v>
      </c>
      <c r="T50" s="1">
        <f t="shared" si="10"/>
        <v>0.69920000000000004</v>
      </c>
      <c r="U50" s="1">
        <f t="shared" si="7"/>
        <v>0.69920000000000027</v>
      </c>
      <c r="V50" s="90" t="s">
        <v>44</v>
      </c>
      <c r="W50" s="91">
        <f>INDEX(LINEST(T50:U50,(T$36:U$36)^{1}),1)</f>
        <v>4.4408920985006258E-17</v>
      </c>
      <c r="X50" s="91">
        <f>INDEX(LINEST(T50:U50,(T$36:U$36)^{1}),1,2)</f>
        <v>0.69920000000000004</v>
      </c>
    </row>
    <row r="51" spans="1:25" x14ac:dyDescent="0.25">
      <c r="A51" s="83"/>
      <c r="T51" s="1"/>
      <c r="U51" s="1"/>
      <c r="V51" s="90"/>
    </row>
    <row r="52" spans="1:25" ht="15.75" x14ac:dyDescent="0.25">
      <c r="D52" s="20" t="s">
        <v>78</v>
      </c>
      <c r="T52" s="189" t="s">
        <v>131</v>
      </c>
      <c r="U52" s="1"/>
      <c r="V52" s="90"/>
    </row>
    <row r="53" spans="1:25" ht="15.75" x14ac:dyDescent="0.25">
      <c r="D53" s="20" t="s">
        <v>99</v>
      </c>
      <c r="T53" s="189" t="s">
        <v>132</v>
      </c>
      <c r="U53" s="1"/>
      <c r="V53" s="90"/>
    </row>
    <row r="54" spans="1:25" x14ac:dyDescent="0.25">
      <c r="D54" s="20" t="s">
        <v>100</v>
      </c>
      <c r="T54" s="1"/>
      <c r="U54" s="1"/>
      <c r="V54" s="90"/>
    </row>
    <row r="55" spans="1:25" x14ac:dyDescent="0.25">
      <c r="D55" s="20"/>
      <c r="T55" s="1"/>
      <c r="U55" s="1"/>
      <c r="V55" s="90"/>
    </row>
    <row r="56" spans="1:25" x14ac:dyDescent="0.25">
      <c r="I56" s="190" t="s">
        <v>134</v>
      </c>
      <c r="J56" s="190"/>
      <c r="K56" s="190"/>
    </row>
    <row r="57" spans="1:25" x14ac:dyDescent="0.25">
      <c r="B57" s="188" t="s">
        <v>130</v>
      </c>
      <c r="H57" s="4" t="s">
        <v>9</v>
      </c>
      <c r="J57" s="178" t="s">
        <v>61</v>
      </c>
      <c r="K57" s="178" t="s">
        <v>62</v>
      </c>
      <c r="L57" s="178" t="s">
        <v>63</v>
      </c>
      <c r="M57" s="178" t="s">
        <v>40</v>
      </c>
      <c r="N57" s="178" t="s">
        <v>64</v>
      </c>
      <c r="O57" s="178" t="s">
        <v>65</v>
      </c>
      <c r="P57" s="178" t="s">
        <v>66</v>
      </c>
      <c r="Q57" s="178" t="s">
        <v>67</v>
      </c>
      <c r="T57" s="122" t="s">
        <v>133</v>
      </c>
    </row>
    <row r="58" spans="1:25" x14ac:dyDescent="0.25">
      <c r="B58" s="174" t="s">
        <v>135</v>
      </c>
      <c r="H58" s="4">
        <v>1</v>
      </c>
      <c r="J58" s="63"/>
      <c r="K58" s="63">
        <f t="shared" ref="K58:K69" si="11">(K39*$D$114*SQRT(4*$D$116*$B$120/32.2)/12)*$H58/2</f>
        <v>1.0278927171162695</v>
      </c>
      <c r="L58" s="63">
        <f t="shared" ref="L58" si="12">(L39*$D$114*SQRT(4*$D$116*$B$120/32.2)/12)*$H58/2</f>
        <v>1.1901915671872596</v>
      </c>
      <c r="M58" s="63">
        <f t="shared" ref="M58:M69" si="13">(M39*$D$114*SQRT(4*$D$116*$B$120/32.2)/12)*$H58/2</f>
        <v>1.3524904172582495</v>
      </c>
      <c r="N58" s="63">
        <f t="shared" ref="N58:P58" si="14">(N39*$D$114*SQRT(4*$D$116*$B$120/32.2)/12)*$H58/2</f>
        <v>1.5147892673292398</v>
      </c>
      <c r="O58" s="63">
        <f t="shared" si="14"/>
        <v>1.6770881174002297</v>
      </c>
      <c r="P58" s="63">
        <f t="shared" si="14"/>
        <v>1.8393869674712198</v>
      </c>
      <c r="Q58" s="63"/>
      <c r="R58" s="63"/>
      <c r="T58" s="11">
        <f>'curve_rzeta_targetnu_add_2.5'!N58</f>
        <v>1.2447396496164973</v>
      </c>
      <c r="X58" s="146">
        <v>1.2</v>
      </c>
      <c r="Y58" s="3" t="s">
        <v>111</v>
      </c>
    </row>
    <row r="59" spans="1:25" x14ac:dyDescent="0.25">
      <c r="B59" s="174" t="s">
        <v>143</v>
      </c>
      <c r="H59" s="4">
        <v>2</v>
      </c>
      <c r="J59" s="58"/>
      <c r="K59" s="58">
        <f t="shared" si="11"/>
        <v>2.4284166613215388</v>
      </c>
      <c r="L59" s="58">
        <f t="shared" ref="L59:L69" si="15">(L40*$D$114*SQRT(4*$D$116*$B$120/32.2)/12)*$H59/2</f>
        <v>2.6997813290222332</v>
      </c>
      <c r="M59" s="58">
        <f t="shared" si="13"/>
        <v>2.9711459967229277</v>
      </c>
      <c r="N59" s="58">
        <f t="shared" ref="N59:P59" si="16">(N40*$D$114*SQRT(4*$D$116*$B$120/32.2)/12)*$H59/2</f>
        <v>3.2425106644236226</v>
      </c>
      <c r="O59" s="58">
        <f t="shared" si="16"/>
        <v>3.5138753321243161</v>
      </c>
      <c r="P59" s="58">
        <f t="shared" si="16"/>
        <v>3.785239999825011</v>
      </c>
      <c r="Q59" s="58"/>
      <c r="R59" s="58"/>
      <c r="T59" s="11">
        <f>'curve_rzeta_targetnu_add_2.5'!N59</f>
        <v>0.8838636327885101</v>
      </c>
      <c r="X59" s="147">
        <v>0.85</v>
      </c>
    </row>
    <row r="60" spans="1:25" x14ac:dyDescent="0.25">
      <c r="H60" s="4">
        <v>3</v>
      </c>
      <c r="J60" s="67"/>
      <c r="K60" s="67">
        <f t="shared" si="11"/>
        <v>4.1755743051444831</v>
      </c>
      <c r="L60" s="67">
        <f t="shared" si="15"/>
        <v>4.5064856905294999</v>
      </c>
      <c r="M60" s="67">
        <f t="shared" si="13"/>
        <v>4.8373970759145175</v>
      </c>
      <c r="N60" s="67">
        <f t="shared" ref="N60:P60" si="17">(N41*$D$114*SQRT(4*$D$116*$B$120/32.2)/12)*$H60/2</f>
        <v>5.1683084612995334</v>
      </c>
      <c r="O60" s="67">
        <f t="shared" si="17"/>
        <v>5.4992198466845501</v>
      </c>
      <c r="P60" s="67">
        <f t="shared" si="17"/>
        <v>5.830131232069566</v>
      </c>
      <c r="Q60" s="67"/>
      <c r="R60" s="67"/>
      <c r="T60" s="11">
        <f>'curve_rzeta_targetnu_add_2.5'!N60</f>
        <v>0.79023766240980053</v>
      </c>
      <c r="X60" s="147">
        <v>0.75</v>
      </c>
    </row>
    <row r="61" spans="1:25" x14ac:dyDescent="0.25">
      <c r="H61" s="4">
        <v>4</v>
      </c>
      <c r="J61" s="58"/>
      <c r="K61" s="58">
        <f>(K42*$D$114*SQRT(4*$D$116*$B$120/32.2)/12)*$H61/2</f>
        <v>6.1740413811902437</v>
      </c>
      <c r="L61" s="58">
        <f t="shared" si="15"/>
        <v>6.5285981367991797</v>
      </c>
      <c r="M61" s="58">
        <f t="shared" si="13"/>
        <v>6.8831548924081174</v>
      </c>
      <c r="N61" s="58">
        <f t="shared" ref="N61:P61" si="18">(N42*$D$114*SQRT(4*$D$116*$B$120/32.2)/12)*$H61/2</f>
        <v>7.2377116480170542</v>
      </c>
      <c r="O61" s="58">
        <f t="shared" si="18"/>
        <v>7.5922684036259893</v>
      </c>
      <c r="P61" s="58">
        <f t="shared" si="18"/>
        <v>7.946825159234927</v>
      </c>
      <c r="Q61" s="58"/>
      <c r="R61" s="58"/>
      <c r="T61" s="11">
        <f>'curve_rzeta_targetnu_add_2.5'!N61</f>
        <v>0.75792433387709501</v>
      </c>
      <c r="X61" s="147">
        <v>0.72</v>
      </c>
    </row>
    <row r="62" spans="1:25" x14ac:dyDescent="0.25">
      <c r="H62" s="4">
        <v>5</v>
      </c>
      <c r="J62" s="58"/>
      <c r="K62" s="58">
        <f t="shared" si="11"/>
        <v>8.3458253070448372</v>
      </c>
      <c r="L62" s="58">
        <f t="shared" si="15"/>
        <v>8.699267882905005</v>
      </c>
      <c r="M62" s="58">
        <f t="shared" si="13"/>
        <v>9.052710458765171</v>
      </c>
      <c r="N62" s="58">
        <f t="shared" ref="N62:P62" si="19">(N43*$D$114*SQRT(4*$D$116*$B$120/32.2)/12)*$H62/2</f>
        <v>9.406153034625337</v>
      </c>
      <c r="O62" s="58">
        <f t="shared" si="19"/>
        <v>9.7595956104854995</v>
      </c>
      <c r="P62" s="58">
        <f t="shared" si="19"/>
        <v>10.113038186345669</v>
      </c>
      <c r="Q62" s="58"/>
      <c r="R62" s="58"/>
      <c r="T62" s="11">
        <f>'curve_rzeta_targetnu_add_2.5'!N62</f>
        <v>0.74653614732665752</v>
      </c>
      <c r="X62" s="147">
        <v>0.71</v>
      </c>
    </row>
    <row r="63" spans="1:25" x14ac:dyDescent="0.25">
      <c r="H63" s="4">
        <v>10</v>
      </c>
      <c r="J63" s="67"/>
      <c r="K63" s="67">
        <f t="shared" si="11"/>
        <v>18.424819112178056</v>
      </c>
      <c r="L63" s="67">
        <f t="shared" si="15"/>
        <v>18.884108764171476</v>
      </c>
      <c r="M63" s="67">
        <f t="shared" si="13"/>
        <v>19.343398416164892</v>
      </c>
      <c r="N63" s="67">
        <f t="shared" ref="N63:P63" si="20">(N44*$D$114*SQRT(4*$D$116*$B$120/32.2)/12)*$H63/2</f>
        <v>19.802688068158314</v>
      </c>
      <c r="O63" s="67">
        <f t="shared" si="20"/>
        <v>20.261977720151734</v>
      </c>
      <c r="P63" s="67">
        <f t="shared" si="20"/>
        <v>20.721267372145157</v>
      </c>
      <c r="Q63" s="67"/>
      <c r="R63" s="67"/>
      <c r="T63" s="11">
        <f>'curve_rzeta_targetnu_add_2.5'!N63</f>
        <v>0.70576020044511412</v>
      </c>
      <c r="X63" s="147">
        <v>0.7</v>
      </c>
    </row>
    <row r="64" spans="1:25" x14ac:dyDescent="0.25">
      <c r="H64" s="4">
        <v>20</v>
      </c>
      <c r="J64" s="58"/>
      <c r="K64" s="58">
        <f t="shared" si="11"/>
        <v>39.016098846966571</v>
      </c>
      <c r="L64" s="58">
        <f t="shared" si="15"/>
        <v>39.625183776294776</v>
      </c>
      <c r="M64" s="58">
        <f t="shared" si="13"/>
        <v>40.234268705622981</v>
      </c>
      <c r="N64" s="58">
        <f t="shared" ref="N64:P64" si="21">(N45*$D$114*SQRT(4*$D$116*$B$120/32.2)/12)*$H64/2</f>
        <v>40.843353634951185</v>
      </c>
      <c r="O64" s="58">
        <f t="shared" si="21"/>
        <v>41.452438564279383</v>
      </c>
      <c r="P64" s="58">
        <f t="shared" si="21"/>
        <v>42.061523493607595</v>
      </c>
      <c r="Q64" s="58"/>
      <c r="R64" s="58"/>
      <c r="T64" s="11">
        <f>'curve_rzeta_targetnu_add_2.5'!N64</f>
        <v>0.69037210861008391</v>
      </c>
      <c r="X64" s="147">
        <v>0.7</v>
      </c>
    </row>
    <row r="65" spans="1:25" x14ac:dyDescent="0.25">
      <c r="H65" s="4">
        <v>30</v>
      </c>
      <c r="J65" s="58"/>
      <c r="K65" s="58">
        <f t="shared" si="11"/>
        <v>59.824024644016156</v>
      </c>
      <c r="L65" s="58">
        <f t="shared" si="15"/>
        <v>60.551955413213292</v>
      </c>
      <c r="M65" s="58">
        <f t="shared" si="13"/>
        <v>61.279886182410387</v>
      </c>
      <c r="N65" s="58">
        <f t="shared" ref="N65:P65" si="22">(N46*$D$114*SQRT(4*$D$116*$B$120/32.2)/12)*$H65/2</f>
        <v>62.007816951607538</v>
      </c>
      <c r="O65" s="58">
        <f t="shared" si="22"/>
        <v>62.735747720804646</v>
      </c>
      <c r="P65" s="58">
        <f t="shared" si="22"/>
        <v>63.463678490001769</v>
      </c>
      <c r="Q65" s="58"/>
      <c r="R65" s="58"/>
      <c r="T65" s="11">
        <f>'curve_rzeta_targetnu_add_2.5'!N65</f>
        <v>0.68690937186698753</v>
      </c>
      <c r="X65" s="147">
        <v>0.7</v>
      </c>
    </row>
    <row r="66" spans="1:25" x14ac:dyDescent="0.25">
      <c r="H66" s="4">
        <v>40</v>
      </c>
      <c r="J66" s="58"/>
      <c r="K66" s="58">
        <f t="shared" si="11"/>
        <v>81.498534690109906</v>
      </c>
      <c r="L66" s="58">
        <f t="shared" si="15"/>
        <v>82.221513549312476</v>
      </c>
      <c r="M66" s="58">
        <f t="shared" si="13"/>
        <v>82.944492408515075</v>
      </c>
      <c r="N66" s="58">
        <f t="shared" ref="N66:P66" si="23">(N47*$D$114*SQRT(4*$D$116*$B$120/32.2)/12)*$H66/2</f>
        <v>83.667471267717673</v>
      </c>
      <c r="O66" s="58">
        <f t="shared" si="23"/>
        <v>84.390450126920229</v>
      </c>
      <c r="P66" s="58">
        <f t="shared" si="23"/>
        <v>85.113428986122827</v>
      </c>
      <c r="Q66" s="58"/>
      <c r="R66" s="58"/>
      <c r="T66" s="11">
        <f>'curve_rzeta_targetnu_add_2.5'!N66</f>
        <v>0.69017788510118039</v>
      </c>
      <c r="X66" s="147">
        <v>0.7</v>
      </c>
    </row>
    <row r="67" spans="1:25" x14ac:dyDescent="0.25">
      <c r="H67" s="4">
        <v>50</v>
      </c>
      <c r="J67" s="58"/>
      <c r="K67" s="58">
        <f t="shared" si="11"/>
        <v>104.03962898524786</v>
      </c>
      <c r="L67" s="58">
        <f t="shared" si="15"/>
        <v>104.63385818459246</v>
      </c>
      <c r="M67" s="58">
        <f t="shared" si="13"/>
        <v>105.22808738393705</v>
      </c>
      <c r="N67" s="58">
        <f t="shared" ref="N67:P67" si="24">(N48*$D$114*SQRT(4*$D$116*$B$120/32.2)/12)*$H67/2</f>
        <v>105.82231658328165</v>
      </c>
      <c r="O67" s="58">
        <f t="shared" si="24"/>
        <v>106.4165457826262</v>
      </c>
      <c r="P67" s="58">
        <f t="shared" si="24"/>
        <v>107.01077498197083</v>
      </c>
      <c r="Q67" s="58"/>
      <c r="R67" s="58"/>
      <c r="T67" s="11">
        <f>'curve_rzeta_targetnu_add_2.5'!N67</f>
        <v>0.69613889832628906</v>
      </c>
      <c r="X67" s="147">
        <v>0.7</v>
      </c>
    </row>
    <row r="68" spans="1:25" x14ac:dyDescent="0.25">
      <c r="H68" s="4">
        <v>60</v>
      </c>
      <c r="J68" s="58"/>
      <c r="K68" s="58">
        <f t="shared" si="11"/>
        <v>127.44730752942998</v>
      </c>
      <c r="L68" s="58">
        <f t="shared" si="15"/>
        <v>127.7889893190531</v>
      </c>
      <c r="M68" s="58">
        <f t="shared" si="13"/>
        <v>128.13067110867627</v>
      </c>
      <c r="N68" s="58">
        <f t="shared" ref="N68:P68" si="25">(N49*$D$114*SQRT(4*$D$116*$B$120/32.2)/12)*$H68/2</f>
        <v>128.47235289829939</v>
      </c>
      <c r="O68" s="58">
        <f t="shared" si="25"/>
        <v>128.81403468792257</v>
      </c>
      <c r="P68" s="58">
        <f t="shared" si="25"/>
        <v>129.15571647754572</v>
      </c>
      <c r="Q68" s="58"/>
      <c r="R68" s="58"/>
      <c r="T68" s="11">
        <f>'curve_rzeta_targetnu_add_2.5'!N68</f>
        <v>0.70344616154685569</v>
      </c>
      <c r="X68" s="147">
        <v>0.7</v>
      </c>
    </row>
    <row r="69" spans="1:25" x14ac:dyDescent="0.25">
      <c r="H69" s="4">
        <v>70</v>
      </c>
      <c r="J69" s="67"/>
      <c r="K69" s="67">
        <f t="shared" si="11"/>
        <v>151.47892673292392</v>
      </c>
      <c r="L69" s="67">
        <f t="shared" si="15"/>
        <v>151.47892673292392</v>
      </c>
      <c r="M69" s="67">
        <f t="shared" si="13"/>
        <v>151.47892673292392</v>
      </c>
      <c r="N69" s="67">
        <f t="shared" ref="N69:P69" si="26">(N50*$D$114*SQRT(4*$D$116*$B$120/32.2)/12)*$H69/2</f>
        <v>151.47892673292398</v>
      </c>
      <c r="O69" s="67">
        <f t="shared" si="26"/>
        <v>151.47892673292398</v>
      </c>
      <c r="P69" s="67">
        <f t="shared" si="26"/>
        <v>151.47892673292401</v>
      </c>
      <c r="Q69" s="67"/>
      <c r="R69" s="67"/>
      <c r="T69" s="11">
        <f>'curve_rzeta_targetnu_add_2.5'!N69</f>
        <v>0.71072272942219372</v>
      </c>
      <c r="X69" s="148">
        <v>0.7</v>
      </c>
    </row>
    <row r="70" spans="1:25" x14ac:dyDescent="0.25">
      <c r="M70" s="114"/>
      <c r="S70" t="s">
        <v>137</v>
      </c>
    </row>
    <row r="71" spans="1:25" x14ac:dyDescent="0.25">
      <c r="M71" s="114"/>
    </row>
    <row r="73" spans="1:25" ht="15.75" thickBot="1" x14ac:dyDescent="0.3">
      <c r="A73" s="141"/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2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</row>
    <row r="74" spans="1:25" ht="15.75" thickTop="1" x14ac:dyDescent="0.25"/>
    <row r="76" spans="1:25" x14ac:dyDescent="0.25">
      <c r="A76" t="s">
        <v>73</v>
      </c>
      <c r="B76" t="s">
        <v>74</v>
      </c>
    </row>
    <row r="77" spans="1:25" x14ac:dyDescent="0.25">
      <c r="B77" s="20" t="s">
        <v>75</v>
      </c>
    </row>
    <row r="78" spans="1:25" x14ac:dyDescent="0.25">
      <c r="A78" s="83"/>
      <c r="B78" s="20"/>
    </row>
    <row r="79" spans="1:25" x14ac:dyDescent="0.25">
      <c r="A79" s="83"/>
      <c r="B79" s="135">
        <v>0.14460000000000001</v>
      </c>
      <c r="D79">
        <v>0.14460999999999999</v>
      </c>
    </row>
    <row r="80" spans="1:25" x14ac:dyDescent="0.25">
      <c r="A80" s="83"/>
      <c r="B80" s="85">
        <v>1</v>
      </c>
    </row>
    <row r="81" spans="1:26" x14ac:dyDescent="0.25">
      <c r="A81" s="83">
        <v>1</v>
      </c>
      <c r="B81" s="86">
        <f>B80+B$79</f>
        <v>1.1446000000000001</v>
      </c>
      <c r="H81" s="7"/>
      <c r="L81" s="21"/>
      <c r="M81" s="31" t="s">
        <v>38</v>
      </c>
      <c r="N81" s="32">
        <f>B81</f>
        <v>1.1446000000000001</v>
      </c>
      <c r="O81" s="32">
        <f>B82</f>
        <v>1.2892000000000001</v>
      </c>
      <c r="P81" s="32">
        <f>B83</f>
        <v>1.4338000000000002</v>
      </c>
      <c r="Q81" s="32">
        <f>B84</f>
        <v>1.5784000000000002</v>
      </c>
      <c r="R81" s="32">
        <f>B85</f>
        <v>1.7230000000000003</v>
      </c>
      <c r="S81" s="33"/>
    </row>
    <row r="82" spans="1:26" x14ac:dyDescent="0.25">
      <c r="A82" s="83">
        <v>2</v>
      </c>
      <c r="B82" s="86">
        <f t="shared" ref="B82:B86" si="27">B81+B$79</f>
        <v>1.2892000000000001</v>
      </c>
      <c r="L82" s="34"/>
      <c r="M82" s="35">
        <v>1</v>
      </c>
      <c r="N82" s="35">
        <v>2</v>
      </c>
      <c r="O82" s="35">
        <v>3</v>
      </c>
      <c r="P82" s="35">
        <v>4</v>
      </c>
      <c r="Q82" s="35">
        <v>5</v>
      </c>
      <c r="R82" s="35">
        <v>6</v>
      </c>
      <c r="S82" s="36"/>
    </row>
    <row r="83" spans="1:26" x14ac:dyDescent="0.25">
      <c r="A83" s="83">
        <v>3</v>
      </c>
      <c r="B83" s="86">
        <f t="shared" si="27"/>
        <v>1.4338000000000002</v>
      </c>
      <c r="K83" s="2" t="s">
        <v>76</v>
      </c>
      <c r="L83" s="24"/>
      <c r="M83" s="124">
        <v>0.4</v>
      </c>
      <c r="N83" s="11">
        <f>$M83*N81</f>
        <v>0.45784000000000002</v>
      </c>
      <c r="O83" s="11">
        <f>$M83*O81</f>
        <v>0.51568000000000003</v>
      </c>
      <c r="P83" s="11">
        <f>$M83*P81</f>
        <v>0.57352000000000014</v>
      </c>
      <c r="Q83" s="11">
        <f>$M83*Q81</f>
        <v>0.63136000000000014</v>
      </c>
      <c r="R83" s="130">
        <f>$M83*R81</f>
        <v>0.68920000000000015</v>
      </c>
      <c r="S83" s="36" t="s">
        <v>39</v>
      </c>
      <c r="T83" s="140">
        <f>R83/M105</f>
        <v>1.0000000000000002</v>
      </c>
      <c r="U83">
        <f>B79/T83</f>
        <v>0.14459999999999998</v>
      </c>
    </row>
    <row r="84" spans="1:26" x14ac:dyDescent="0.25">
      <c r="A84" s="83">
        <v>4</v>
      </c>
      <c r="B84" s="86">
        <f t="shared" si="27"/>
        <v>1.5784000000000002</v>
      </c>
      <c r="L84" s="26"/>
      <c r="M84" s="38">
        <f t="shared" ref="M84:R84" si="28">M83</f>
        <v>0.4</v>
      </c>
      <c r="N84" s="38">
        <f t="shared" si="28"/>
        <v>0.45784000000000002</v>
      </c>
      <c r="O84" s="38">
        <f t="shared" si="28"/>
        <v>0.51568000000000003</v>
      </c>
      <c r="P84" s="38">
        <f t="shared" si="28"/>
        <v>0.57352000000000014</v>
      </c>
      <c r="Q84" s="38">
        <f t="shared" si="28"/>
        <v>0.63136000000000014</v>
      </c>
      <c r="R84" s="38">
        <f t="shared" si="28"/>
        <v>0.68920000000000015</v>
      </c>
      <c r="S84" s="39" t="s">
        <v>42</v>
      </c>
    </row>
    <row r="85" spans="1:26" x14ac:dyDescent="0.25">
      <c r="A85" s="83">
        <v>5</v>
      </c>
      <c r="B85" s="86">
        <f t="shared" si="27"/>
        <v>1.7230000000000003</v>
      </c>
    </row>
    <row r="86" spans="1:26" x14ac:dyDescent="0.25">
      <c r="A86" s="83">
        <v>6</v>
      </c>
      <c r="B86" s="86">
        <f t="shared" si="27"/>
        <v>1.8676000000000004</v>
      </c>
      <c r="D86" t="s">
        <v>72</v>
      </c>
      <c r="K86" s="20" t="s">
        <v>154</v>
      </c>
      <c r="L86" s="18"/>
    </row>
    <row r="87" spans="1:26" x14ac:dyDescent="0.25">
      <c r="A87" s="83"/>
      <c r="B87" s="86"/>
      <c r="F87" s="40" t="s">
        <v>101</v>
      </c>
      <c r="G87" s="22"/>
      <c r="H87" s="22"/>
      <c r="I87" s="22"/>
      <c r="J87" s="22"/>
      <c r="K87" s="210" t="s">
        <v>119</v>
      </c>
      <c r="L87" s="211"/>
      <c r="M87" s="22"/>
      <c r="N87" s="167" t="s">
        <v>109</v>
      </c>
      <c r="O87" s="23"/>
      <c r="P87" s="22"/>
      <c r="Q87" s="55" t="s">
        <v>45</v>
      </c>
      <c r="R87" s="23"/>
    </row>
    <row r="88" spans="1:26" x14ac:dyDescent="0.25">
      <c r="A88" s="83"/>
      <c r="B88" s="86"/>
      <c r="F88" s="183"/>
      <c r="K88" s="187" t="s">
        <v>123</v>
      </c>
      <c r="L88" s="212"/>
      <c r="N88" s="184"/>
      <c r="O88" s="25"/>
      <c r="Q88" s="186"/>
      <c r="R88" s="25"/>
    </row>
    <row r="89" spans="1:26" x14ac:dyDescent="0.25">
      <c r="A89" s="83"/>
      <c r="B89" s="20"/>
      <c r="F89" s="24"/>
      <c r="K89" s="207" t="s">
        <v>124</v>
      </c>
      <c r="L89" s="24"/>
      <c r="O89" s="25"/>
      <c r="R89" s="25"/>
    </row>
    <row r="90" spans="1:26" x14ac:dyDescent="0.25">
      <c r="A90" s="83"/>
      <c r="F90" s="41"/>
      <c r="G90" s="42"/>
      <c r="H90" s="42"/>
      <c r="I90" s="42"/>
      <c r="J90" s="42"/>
      <c r="K90" s="42"/>
      <c r="L90" s="172" t="s">
        <v>147</v>
      </c>
      <c r="M90" s="42" t="s">
        <v>148</v>
      </c>
      <c r="N90" s="42" t="s">
        <v>149</v>
      </c>
      <c r="O90" s="173" t="s">
        <v>150</v>
      </c>
      <c r="P90" s="42"/>
      <c r="Q90" s="42"/>
      <c r="R90" s="43"/>
    </row>
    <row r="91" spans="1:26" x14ac:dyDescent="0.25">
      <c r="A91" s="83"/>
      <c r="C91" s="73" t="s">
        <v>34</v>
      </c>
      <c r="F91" s="44"/>
      <c r="G91" s="4">
        <v>-5</v>
      </c>
      <c r="H91" s="4">
        <v>-4</v>
      </c>
      <c r="I91" s="4">
        <v>-3</v>
      </c>
      <c r="J91" s="4">
        <v>-2</v>
      </c>
      <c r="K91" s="4">
        <v>-1</v>
      </c>
      <c r="L91" s="44">
        <v>0</v>
      </c>
      <c r="M91" s="4">
        <v>1</v>
      </c>
      <c r="N91" s="4">
        <v>2</v>
      </c>
      <c r="O91" s="45">
        <v>3</v>
      </c>
      <c r="P91" s="4">
        <v>4</v>
      </c>
      <c r="Q91" s="4">
        <v>5</v>
      </c>
      <c r="R91" s="45">
        <v>6</v>
      </c>
      <c r="T91" s="4">
        <v>1</v>
      </c>
      <c r="U91" s="4">
        <v>6</v>
      </c>
    </row>
    <row r="92" spans="1:26" x14ac:dyDescent="0.25">
      <c r="A92" s="83"/>
      <c r="B92" s="4"/>
      <c r="C92" s="4" t="s">
        <v>10</v>
      </c>
      <c r="D92" s="87" t="s">
        <v>37</v>
      </c>
      <c r="E92" s="73"/>
      <c r="F92" s="24"/>
      <c r="L92" s="24"/>
      <c r="N92" s="46" t="s">
        <v>43</v>
      </c>
      <c r="O92" s="25"/>
      <c r="R92" s="25"/>
      <c r="T92" t="s">
        <v>129</v>
      </c>
    </row>
    <row r="93" spans="1:26" x14ac:dyDescent="0.25">
      <c r="A93" s="83"/>
      <c r="B93" s="4" t="s">
        <v>9</v>
      </c>
      <c r="C93" s="88" t="s">
        <v>36</v>
      </c>
      <c r="D93" s="89">
        <v>-0.02</v>
      </c>
      <c r="E93" s="74"/>
      <c r="F93" s="24"/>
      <c r="G93" s="47"/>
      <c r="H93" s="47"/>
      <c r="I93" s="47"/>
      <c r="J93" s="47"/>
      <c r="K93" s="47"/>
      <c r="L93" s="162"/>
      <c r="M93" s="144">
        <f>M83</f>
        <v>0.4</v>
      </c>
      <c r="N93" s="144">
        <f>N83</f>
        <v>0.45784000000000002</v>
      </c>
      <c r="O93" s="145">
        <f t="shared" ref="O93:R93" si="29">O83</f>
        <v>0.51568000000000003</v>
      </c>
      <c r="P93" s="144">
        <f t="shared" si="29"/>
        <v>0.57352000000000014</v>
      </c>
      <c r="Q93" s="144">
        <f t="shared" si="29"/>
        <v>0.63136000000000014</v>
      </c>
      <c r="R93" s="145">
        <f t="shared" si="29"/>
        <v>0.68920000000000015</v>
      </c>
    </row>
    <row r="94" spans="1:26" x14ac:dyDescent="0.25">
      <c r="A94" s="83"/>
      <c r="B94" s="4">
        <v>1</v>
      </c>
      <c r="C94" s="6">
        <v>0.78</v>
      </c>
      <c r="D94" s="6">
        <f>C94+$D$93</f>
        <v>0.76</v>
      </c>
      <c r="E94" s="11">
        <f>M39/M94</f>
        <v>1.0925</v>
      </c>
      <c r="F94" s="49">
        <f t="shared" ref="F94:F104" si="30">M94/M95</f>
        <v>0.89686098654708524</v>
      </c>
      <c r="G94" s="13">
        <f>($W94*G$36)+$X94</f>
        <v>5.2959999999999952E-2</v>
      </c>
      <c r="H94" s="13">
        <f t="shared" ref="H94:K94" si="31">($W94*H$36)+$X94</f>
        <v>0.11079999999999998</v>
      </c>
      <c r="I94" s="13">
        <f t="shared" si="31"/>
        <v>0.16863999999999998</v>
      </c>
      <c r="J94" s="13">
        <f t="shared" si="31"/>
        <v>0.22648000000000001</v>
      </c>
      <c r="K94" s="13">
        <f t="shared" si="31"/>
        <v>0.28432000000000002</v>
      </c>
      <c r="L94" s="163">
        <f>($W94*L$36)+$X94</f>
        <v>0.34216000000000002</v>
      </c>
      <c r="M94" s="136">
        <v>0.4</v>
      </c>
      <c r="N94" s="13">
        <f>($W94*N$36)+$X94</f>
        <v>0.45784000000000002</v>
      </c>
      <c r="O94" s="76">
        <f t="shared" ref="O94:Q105" si="32">($W94*O$36)+$X94</f>
        <v>0.51568000000000003</v>
      </c>
      <c r="P94" s="13">
        <f t="shared" si="32"/>
        <v>0.57352000000000003</v>
      </c>
      <c r="Q94" s="13">
        <f t="shared" si="32"/>
        <v>0.63136000000000014</v>
      </c>
      <c r="R94" s="131">
        <f>$R$83</f>
        <v>0.68920000000000015</v>
      </c>
      <c r="S94" s="124"/>
      <c r="T94" s="11">
        <f>M94</f>
        <v>0.4</v>
      </c>
      <c r="U94" s="11">
        <f t="shared" ref="U94:U104" si="33">R94</f>
        <v>0.68920000000000015</v>
      </c>
      <c r="V94" s="90" t="s">
        <v>44</v>
      </c>
      <c r="W94" s="91">
        <f>INDEX(LINEST(T94:U94,(T$36:U$36)^{1}),1)</f>
        <v>5.7840000000000009E-2</v>
      </c>
      <c r="X94" s="91">
        <f>INDEX(LINEST(T94:U94,(T$36:U$36)^{1}),1,2)</f>
        <v>0.34216000000000002</v>
      </c>
      <c r="Z94" s="136">
        <v>0.4</v>
      </c>
    </row>
    <row r="95" spans="1:26" x14ac:dyDescent="0.25">
      <c r="A95" s="83"/>
      <c r="B95" s="4">
        <v>2</v>
      </c>
      <c r="C95" s="1">
        <v>0.56999999999999995</v>
      </c>
      <c r="D95" s="1">
        <f t="shared" ref="D95:D105" si="34">C95+$D$93</f>
        <v>0.54999999999999993</v>
      </c>
      <c r="E95" s="11">
        <f t="shared" ref="E95:E105" si="35">M40/M95</f>
        <v>1.0762331838565022</v>
      </c>
      <c r="F95" s="49">
        <f t="shared" si="30"/>
        <v>0.92723492723492729</v>
      </c>
      <c r="G95" s="12">
        <f t="shared" ref="G95:N105" si="36">($W95*G$36)+$X95</f>
        <v>0.15415999999999999</v>
      </c>
      <c r="H95" s="12">
        <f t="shared" si="36"/>
        <v>0.20280000000000001</v>
      </c>
      <c r="I95" s="12">
        <f t="shared" si="36"/>
        <v>0.25144</v>
      </c>
      <c r="J95" s="12">
        <f t="shared" si="36"/>
        <v>0.30008000000000001</v>
      </c>
      <c r="K95" s="12">
        <f t="shared" si="36"/>
        <v>0.34872000000000003</v>
      </c>
      <c r="L95" s="164">
        <f t="shared" si="36"/>
        <v>0.39736000000000005</v>
      </c>
      <c r="M95" s="137">
        <v>0.44600000000000001</v>
      </c>
      <c r="N95" s="12">
        <f t="shared" si="36"/>
        <v>0.49464000000000008</v>
      </c>
      <c r="O95" s="127">
        <f t="shared" si="32"/>
        <v>0.5432800000000001</v>
      </c>
      <c r="P95" s="12">
        <f t="shared" si="32"/>
        <v>0.59192000000000011</v>
      </c>
      <c r="Q95" s="12">
        <f t="shared" si="32"/>
        <v>0.64056000000000013</v>
      </c>
      <c r="R95" s="132">
        <f t="shared" ref="R95:R105" si="37">$R$83</f>
        <v>0.68920000000000015</v>
      </c>
      <c r="S95" s="124">
        <f>M95-M94</f>
        <v>4.5999999999999985E-2</v>
      </c>
      <c r="T95" s="11">
        <f t="shared" ref="T95:T104" si="38">M95</f>
        <v>0.44600000000000001</v>
      </c>
      <c r="U95" s="11">
        <f t="shared" si="33"/>
        <v>0.68920000000000015</v>
      </c>
      <c r="V95" s="90" t="s">
        <v>44</v>
      </c>
      <c r="W95" s="91">
        <f>INDEX(LINEST(T95:U95,(T$36:U$36)^{1}),1)</f>
        <v>4.864000000000001E-2</v>
      </c>
      <c r="X95" s="91">
        <f>INDEX(LINEST(T95:U95,(T$36:U$36)^{1}),1,2)</f>
        <v>0.39736000000000005</v>
      </c>
      <c r="Z95" s="137">
        <v>0.44600000000000001</v>
      </c>
    </row>
    <row r="96" spans="1:26" x14ac:dyDescent="0.25">
      <c r="A96" s="83"/>
      <c r="B96" s="4">
        <v>3</v>
      </c>
      <c r="C96" s="5">
        <v>0.54</v>
      </c>
      <c r="D96" s="5">
        <f t="shared" si="34"/>
        <v>0.52</v>
      </c>
      <c r="E96" s="11">
        <f t="shared" si="35"/>
        <v>1.0831600831600832</v>
      </c>
      <c r="F96" s="49">
        <f t="shared" si="30"/>
        <v>0.92857142857142849</v>
      </c>
      <c r="G96" s="14">
        <f t="shared" si="36"/>
        <v>0.23115999999999973</v>
      </c>
      <c r="H96" s="14">
        <f t="shared" si="36"/>
        <v>0.27279999999999976</v>
      </c>
      <c r="I96" s="14">
        <f t="shared" si="36"/>
        <v>0.31443999999999983</v>
      </c>
      <c r="J96" s="14">
        <f t="shared" si="36"/>
        <v>0.35607999999999984</v>
      </c>
      <c r="K96" s="14">
        <f t="shared" si="36"/>
        <v>0.39771999999999985</v>
      </c>
      <c r="L96" s="165">
        <f t="shared" si="36"/>
        <v>0.43935999999999992</v>
      </c>
      <c r="M96" s="138">
        <v>0.48099999999999998</v>
      </c>
      <c r="N96" s="14">
        <f t="shared" si="36"/>
        <v>0.52263999999999999</v>
      </c>
      <c r="O96" s="128">
        <f t="shared" si="32"/>
        <v>0.56428</v>
      </c>
      <c r="P96" s="14">
        <f t="shared" si="32"/>
        <v>0.60592000000000001</v>
      </c>
      <c r="Q96" s="14">
        <f t="shared" si="32"/>
        <v>0.64756000000000014</v>
      </c>
      <c r="R96" s="133">
        <f t="shared" si="37"/>
        <v>0.68920000000000015</v>
      </c>
      <c r="S96" s="124">
        <f t="shared" ref="S96:S105" si="39">M96-M95</f>
        <v>3.4999999999999976E-2</v>
      </c>
      <c r="T96" s="11">
        <f t="shared" si="38"/>
        <v>0.48099999999999998</v>
      </c>
      <c r="U96" s="11">
        <f t="shared" si="33"/>
        <v>0.68920000000000015</v>
      </c>
      <c r="V96" s="90" t="s">
        <v>44</v>
      </c>
      <c r="W96" s="91">
        <f>INDEX(LINEST(T96:U96,(T$36:U$36)^{1}),1)</f>
        <v>4.1640000000000038E-2</v>
      </c>
      <c r="X96" s="91">
        <f>INDEX(LINEST(T96:U96,(T$36:U$36)^{1}),1,2)</f>
        <v>0.43935999999999992</v>
      </c>
      <c r="Z96" s="138">
        <v>0.48099999999999998</v>
      </c>
    </row>
    <row r="97" spans="1:26" x14ac:dyDescent="0.25">
      <c r="A97" s="83"/>
      <c r="B97" s="4">
        <v>4</v>
      </c>
      <c r="C97" s="1">
        <v>0.53</v>
      </c>
      <c r="D97" s="1">
        <f t="shared" si="34"/>
        <v>0.51</v>
      </c>
      <c r="E97" s="11">
        <f t="shared" si="35"/>
        <v>1.0733590733590734</v>
      </c>
      <c r="F97" s="49">
        <f t="shared" si="30"/>
        <v>0.94525547445255464</v>
      </c>
      <c r="G97" s="12">
        <f t="shared" si="36"/>
        <v>0.31255999999999995</v>
      </c>
      <c r="H97" s="12">
        <f t="shared" si="36"/>
        <v>0.3468</v>
      </c>
      <c r="I97" s="12">
        <f t="shared" si="36"/>
        <v>0.38104000000000005</v>
      </c>
      <c r="J97" s="12">
        <f t="shared" si="36"/>
        <v>0.41528000000000004</v>
      </c>
      <c r="K97" s="12">
        <f t="shared" si="36"/>
        <v>0.44952000000000003</v>
      </c>
      <c r="L97" s="164">
        <f t="shared" si="36"/>
        <v>0.48376000000000008</v>
      </c>
      <c r="M97" s="137">
        <v>0.51800000000000002</v>
      </c>
      <c r="N97" s="12">
        <f t="shared" si="36"/>
        <v>0.55224000000000006</v>
      </c>
      <c r="O97" s="127">
        <f t="shared" si="32"/>
        <v>0.58648000000000011</v>
      </c>
      <c r="P97" s="12">
        <f t="shared" si="32"/>
        <v>0.62072000000000016</v>
      </c>
      <c r="Q97" s="12">
        <f t="shared" si="32"/>
        <v>0.65496000000000021</v>
      </c>
      <c r="R97" s="132">
        <f t="shared" si="37"/>
        <v>0.68920000000000015</v>
      </c>
      <c r="S97" s="124">
        <f t="shared" si="39"/>
        <v>3.7000000000000033E-2</v>
      </c>
      <c r="T97" s="11">
        <f t="shared" si="38"/>
        <v>0.51800000000000002</v>
      </c>
      <c r="U97" s="11">
        <f t="shared" si="33"/>
        <v>0.68920000000000015</v>
      </c>
      <c r="V97" s="90" t="s">
        <v>44</v>
      </c>
      <c r="W97" s="91">
        <f>INDEX(LINEST(T97:U97,(T$36:U$36)^{1}),1)</f>
        <v>3.424000000000002E-2</v>
      </c>
      <c r="X97" s="91">
        <f>INDEX(LINEST(T97:U97,(T$36:U$36)^{1}),1,2)</f>
        <v>0.48376000000000008</v>
      </c>
      <c r="Z97" s="137">
        <v>0.51800000000000002</v>
      </c>
    </row>
    <row r="98" spans="1:26" x14ac:dyDescent="0.25">
      <c r="A98" s="83"/>
      <c r="B98" s="4">
        <v>5</v>
      </c>
      <c r="C98" s="1">
        <v>0.56000000000000005</v>
      </c>
      <c r="D98" s="1">
        <f t="shared" si="34"/>
        <v>0.54</v>
      </c>
      <c r="E98" s="11">
        <f t="shared" si="35"/>
        <v>1.0675182481751824</v>
      </c>
      <c r="F98" s="49">
        <f t="shared" si="30"/>
        <v>0.88529886914378042</v>
      </c>
      <c r="G98" s="12">
        <f t="shared" si="36"/>
        <v>0.37855999999999995</v>
      </c>
      <c r="H98" s="12">
        <f t="shared" si="36"/>
        <v>0.40679999999999994</v>
      </c>
      <c r="I98" s="12">
        <f t="shared" si="36"/>
        <v>0.43503999999999998</v>
      </c>
      <c r="J98" s="12">
        <f t="shared" si="36"/>
        <v>0.46327999999999997</v>
      </c>
      <c r="K98" s="12">
        <f t="shared" si="36"/>
        <v>0.49152000000000001</v>
      </c>
      <c r="L98" s="164">
        <f t="shared" si="36"/>
        <v>0.51976</v>
      </c>
      <c r="M98" s="137">
        <v>0.54800000000000004</v>
      </c>
      <c r="N98" s="12">
        <f t="shared" si="36"/>
        <v>0.57623999999999997</v>
      </c>
      <c r="O98" s="127">
        <f t="shared" si="32"/>
        <v>0.60448000000000002</v>
      </c>
      <c r="P98" s="12">
        <f t="shared" si="32"/>
        <v>0.63272000000000006</v>
      </c>
      <c r="Q98" s="12">
        <f t="shared" si="32"/>
        <v>0.66095999999999999</v>
      </c>
      <c r="R98" s="132">
        <f t="shared" si="37"/>
        <v>0.68920000000000015</v>
      </c>
      <c r="S98" s="124">
        <f t="shared" si="39"/>
        <v>3.0000000000000027E-2</v>
      </c>
      <c r="T98" s="11">
        <f t="shared" si="38"/>
        <v>0.54800000000000004</v>
      </c>
      <c r="U98" s="11">
        <f t="shared" si="33"/>
        <v>0.68920000000000015</v>
      </c>
      <c r="V98" s="90" t="s">
        <v>44</v>
      </c>
      <c r="W98" s="91">
        <f>INDEX(LINEST(T98:U98,(T$36:U$36)^{1}),1)</f>
        <v>2.8240000000000012E-2</v>
      </c>
      <c r="X98" s="91">
        <f>INDEX(LINEST(T98:U98,(T$36:U$36)^{1}),1,2)</f>
        <v>0.51976</v>
      </c>
      <c r="Z98" s="137">
        <v>0.54800000000000004</v>
      </c>
    </row>
    <row r="99" spans="1:26" x14ac:dyDescent="0.25">
      <c r="A99" s="83"/>
      <c r="B99" s="4">
        <v>10</v>
      </c>
      <c r="C99" s="5">
        <v>0.64</v>
      </c>
      <c r="D99" s="5">
        <f t="shared" si="34"/>
        <v>0.62</v>
      </c>
      <c r="E99" s="11">
        <f t="shared" si="35"/>
        <v>1.0096930533117932</v>
      </c>
      <c r="F99" s="49">
        <f t="shared" si="30"/>
        <v>0.93787878787878787</v>
      </c>
      <c r="G99" s="14">
        <f t="shared" si="36"/>
        <v>0.5347599999999999</v>
      </c>
      <c r="H99" s="14">
        <f t="shared" si="36"/>
        <v>0.54879999999999995</v>
      </c>
      <c r="I99" s="14">
        <f t="shared" si="36"/>
        <v>0.56284000000000001</v>
      </c>
      <c r="J99" s="14">
        <f t="shared" si="36"/>
        <v>0.57688000000000006</v>
      </c>
      <c r="K99" s="14">
        <f>($W99*K$36)+$X99</f>
        <v>0.59092</v>
      </c>
      <c r="L99" s="165">
        <f t="shared" si="36"/>
        <v>0.60496000000000005</v>
      </c>
      <c r="M99" s="138">
        <v>0.61899999999999999</v>
      </c>
      <c r="N99" s="14">
        <f>($W99*N$36)+$X99</f>
        <v>0.63304000000000005</v>
      </c>
      <c r="O99" s="128">
        <f t="shared" si="32"/>
        <v>0.6470800000000001</v>
      </c>
      <c r="P99" s="14">
        <f t="shared" si="32"/>
        <v>0.66112000000000015</v>
      </c>
      <c r="Q99" s="14">
        <f t="shared" si="32"/>
        <v>0.6751600000000002</v>
      </c>
      <c r="R99" s="133">
        <f t="shared" si="37"/>
        <v>0.68920000000000015</v>
      </c>
      <c r="S99" s="124">
        <f t="shared" si="39"/>
        <v>7.0999999999999952E-2</v>
      </c>
      <c r="T99" s="11">
        <f t="shared" si="38"/>
        <v>0.61899999999999999</v>
      </c>
      <c r="U99" s="11">
        <f t="shared" si="33"/>
        <v>0.68920000000000015</v>
      </c>
      <c r="V99" s="90" t="s">
        <v>44</v>
      </c>
      <c r="W99" s="91">
        <f>INDEX(LINEST(T99:U99,(T$36:U$36)^{1}),1)</f>
        <v>1.4040000000000025E-2</v>
      </c>
      <c r="X99" s="91">
        <f>INDEX(LINEST(T99:U99,(T$36:U$36)^{1}),1,2)</f>
        <v>0.60496000000000005</v>
      </c>
      <c r="Z99" s="138">
        <v>0.61899999999999999</v>
      </c>
    </row>
    <row r="100" spans="1:26" x14ac:dyDescent="0.25">
      <c r="A100" s="83"/>
      <c r="B100" s="4">
        <v>20</v>
      </c>
      <c r="C100" s="1">
        <v>0.66</v>
      </c>
      <c r="D100" s="1">
        <f t="shared" si="34"/>
        <v>0.64</v>
      </c>
      <c r="E100" s="11">
        <f t="shared" si="35"/>
        <v>0.98484848484848486</v>
      </c>
      <c r="F100" s="49">
        <f t="shared" si="30"/>
        <v>0.98068350668647841</v>
      </c>
      <c r="G100" s="12">
        <f t="shared" si="36"/>
        <v>0.62495999999999985</v>
      </c>
      <c r="H100" s="12">
        <f t="shared" si="36"/>
        <v>0.63079999999999992</v>
      </c>
      <c r="I100" s="12">
        <f t="shared" si="36"/>
        <v>0.63663999999999987</v>
      </c>
      <c r="J100" s="12">
        <f t="shared" si="36"/>
        <v>0.64247999999999994</v>
      </c>
      <c r="K100" s="12">
        <f t="shared" si="36"/>
        <v>0.6483199999999999</v>
      </c>
      <c r="L100" s="164">
        <f t="shared" si="36"/>
        <v>0.65415999999999996</v>
      </c>
      <c r="M100" s="137">
        <v>0.66</v>
      </c>
      <c r="N100" s="12">
        <f t="shared" si="36"/>
        <v>0.66583999999999999</v>
      </c>
      <c r="O100" s="127">
        <f t="shared" si="32"/>
        <v>0.67168000000000005</v>
      </c>
      <c r="P100" s="12">
        <f t="shared" si="32"/>
        <v>0.67752000000000001</v>
      </c>
      <c r="Q100" s="12">
        <f t="shared" si="32"/>
        <v>0.68336000000000008</v>
      </c>
      <c r="R100" s="132">
        <f t="shared" si="37"/>
        <v>0.68920000000000015</v>
      </c>
      <c r="S100" s="124">
        <f t="shared" si="39"/>
        <v>4.1000000000000036E-2</v>
      </c>
      <c r="T100" s="11">
        <f t="shared" si="38"/>
        <v>0.66</v>
      </c>
      <c r="U100" s="11">
        <f t="shared" si="33"/>
        <v>0.68920000000000015</v>
      </c>
      <c r="V100" s="90" t="s">
        <v>44</v>
      </c>
      <c r="W100" s="91">
        <f>INDEX(LINEST(T100:U100,(T$36:U$36)^{1}),1)</f>
        <v>5.8400000000000223E-3</v>
      </c>
      <c r="X100" s="91">
        <f>INDEX(LINEST(T100:U100,(T$36:U$36)^{1}),1,2)</f>
        <v>0.65415999999999996</v>
      </c>
      <c r="Z100" s="137">
        <v>0.66</v>
      </c>
    </row>
    <row r="101" spans="1:26" x14ac:dyDescent="0.25">
      <c r="A101" s="83"/>
      <c r="B101" s="4">
        <v>30</v>
      </c>
      <c r="C101" s="1">
        <v>0.68</v>
      </c>
      <c r="D101" s="1">
        <f t="shared" si="34"/>
        <v>0.66</v>
      </c>
      <c r="E101" s="11">
        <f t="shared" si="35"/>
        <v>0.98068350668647841</v>
      </c>
      <c r="F101" s="49">
        <f t="shared" si="30"/>
        <v>0.98970588235294121</v>
      </c>
      <c r="G101" s="12">
        <f t="shared" si="36"/>
        <v>0.65355999999999992</v>
      </c>
      <c r="H101" s="12">
        <f t="shared" si="36"/>
        <v>0.65679999999999994</v>
      </c>
      <c r="I101" s="12">
        <f t="shared" si="36"/>
        <v>0.66003999999999996</v>
      </c>
      <c r="J101" s="12">
        <f t="shared" si="36"/>
        <v>0.66327999999999998</v>
      </c>
      <c r="K101" s="12">
        <f t="shared" si="36"/>
        <v>0.66652</v>
      </c>
      <c r="L101" s="164">
        <f t="shared" si="36"/>
        <v>0.66976000000000002</v>
      </c>
      <c r="M101" s="137">
        <v>0.67300000000000004</v>
      </c>
      <c r="N101" s="12">
        <f t="shared" si="36"/>
        <v>0.67624000000000006</v>
      </c>
      <c r="O101" s="127">
        <f t="shared" si="32"/>
        <v>0.67948000000000008</v>
      </c>
      <c r="P101" s="12">
        <f t="shared" si="32"/>
        <v>0.6827200000000001</v>
      </c>
      <c r="Q101" s="12">
        <f t="shared" si="32"/>
        <v>0.68596000000000013</v>
      </c>
      <c r="R101" s="132">
        <f t="shared" si="37"/>
        <v>0.68920000000000015</v>
      </c>
      <c r="S101" s="124">
        <f t="shared" si="39"/>
        <v>1.3000000000000012E-2</v>
      </c>
      <c r="T101" s="11">
        <f t="shared" si="38"/>
        <v>0.67300000000000004</v>
      </c>
      <c r="U101" s="11">
        <f t="shared" si="33"/>
        <v>0.68920000000000015</v>
      </c>
      <c r="V101" s="90" t="s">
        <v>44</v>
      </c>
      <c r="W101" s="91">
        <f>INDEX(LINEST(T101:U101,(T$36:U$36)^{1}),1)</f>
        <v>3.2400000000000193E-3</v>
      </c>
      <c r="X101" s="91">
        <f>INDEX(LINEST(T101:U101,(T$36:U$36)^{1}),1,2)</f>
        <v>0.66976000000000002</v>
      </c>
      <c r="Z101" s="137">
        <v>0.67300000000000004</v>
      </c>
    </row>
    <row r="102" spans="1:26" x14ac:dyDescent="0.25">
      <c r="A102" s="83"/>
      <c r="B102" s="4">
        <v>40</v>
      </c>
      <c r="C102" s="1">
        <v>0.69</v>
      </c>
      <c r="D102" s="1">
        <f t="shared" si="34"/>
        <v>0.66999999999999993</v>
      </c>
      <c r="E102" s="11">
        <f t="shared" si="35"/>
        <v>0.98529411764705876</v>
      </c>
      <c r="F102" s="49">
        <f t="shared" si="30"/>
        <v>0.99415204678362568</v>
      </c>
      <c r="G102" s="12">
        <f t="shared" si="36"/>
        <v>0.66895999999999989</v>
      </c>
      <c r="H102" s="12">
        <f t="shared" si="36"/>
        <v>0.67079999999999995</v>
      </c>
      <c r="I102" s="12">
        <f t="shared" si="36"/>
        <v>0.6726399999999999</v>
      </c>
      <c r="J102" s="12">
        <f t="shared" si="36"/>
        <v>0.67447999999999997</v>
      </c>
      <c r="K102" s="12">
        <f t="shared" si="36"/>
        <v>0.67631999999999992</v>
      </c>
      <c r="L102" s="164">
        <f t="shared" si="36"/>
        <v>0.67815999999999999</v>
      </c>
      <c r="M102" s="137">
        <v>0.68</v>
      </c>
      <c r="N102" s="12">
        <f t="shared" si="36"/>
        <v>0.68184</v>
      </c>
      <c r="O102" s="127">
        <f t="shared" si="32"/>
        <v>0.68368000000000007</v>
      </c>
      <c r="P102" s="12">
        <f t="shared" si="32"/>
        <v>0.68552000000000002</v>
      </c>
      <c r="Q102" s="12">
        <f t="shared" si="32"/>
        <v>0.68736000000000008</v>
      </c>
      <c r="R102" s="132">
        <f t="shared" si="37"/>
        <v>0.68920000000000015</v>
      </c>
      <c r="S102" s="124">
        <f t="shared" si="39"/>
        <v>7.0000000000000062E-3</v>
      </c>
      <c r="T102" s="11">
        <f t="shared" si="38"/>
        <v>0.68</v>
      </c>
      <c r="U102" s="11">
        <f t="shared" si="33"/>
        <v>0.68920000000000015</v>
      </c>
      <c r="V102" s="90" t="s">
        <v>44</v>
      </c>
      <c r="W102" s="91">
        <f>INDEX(LINEST(T102:U102,(T$36:U$36)^{1}),1)</f>
        <v>1.8400000000000189E-3</v>
      </c>
      <c r="X102" s="91">
        <f>INDEX(LINEST(T102:U102,(T$36:U$36)^{1}),1,2)</f>
        <v>0.67815999999999999</v>
      </c>
      <c r="Z102" s="137">
        <v>0.68</v>
      </c>
    </row>
    <row r="103" spans="1:26" x14ac:dyDescent="0.25">
      <c r="A103" s="83"/>
      <c r="B103" s="4">
        <v>50</v>
      </c>
      <c r="C103" s="1">
        <v>0.71</v>
      </c>
      <c r="D103" s="1">
        <f t="shared" si="34"/>
        <v>0.69</v>
      </c>
      <c r="E103" s="11">
        <f t="shared" si="35"/>
        <v>0.99415204678362568</v>
      </c>
      <c r="F103" s="49">
        <f t="shared" si="30"/>
        <v>0.99563318777292575</v>
      </c>
      <c r="G103" s="12">
        <f t="shared" si="36"/>
        <v>0.67775999999999992</v>
      </c>
      <c r="H103" s="12">
        <f t="shared" si="36"/>
        <v>0.67879999999999996</v>
      </c>
      <c r="I103" s="12">
        <f t="shared" si="36"/>
        <v>0.67984</v>
      </c>
      <c r="J103" s="12">
        <f t="shared" si="36"/>
        <v>0.68087999999999993</v>
      </c>
      <c r="K103" s="12">
        <f t="shared" si="36"/>
        <v>0.68191999999999997</v>
      </c>
      <c r="L103" s="164">
        <f t="shared" si="36"/>
        <v>0.68296000000000001</v>
      </c>
      <c r="M103" s="137">
        <v>0.68400000000000005</v>
      </c>
      <c r="N103" s="12">
        <f t="shared" si="36"/>
        <v>0.68504000000000009</v>
      </c>
      <c r="O103" s="127">
        <f t="shared" si="32"/>
        <v>0.68608000000000002</v>
      </c>
      <c r="P103" s="12">
        <f t="shared" si="32"/>
        <v>0.68712000000000006</v>
      </c>
      <c r="Q103" s="12">
        <f t="shared" si="32"/>
        <v>0.6881600000000001</v>
      </c>
      <c r="R103" s="132">
        <f t="shared" si="37"/>
        <v>0.68920000000000015</v>
      </c>
      <c r="S103" s="124">
        <f t="shared" si="39"/>
        <v>4.0000000000000036E-3</v>
      </c>
      <c r="T103" s="11">
        <f t="shared" si="38"/>
        <v>0.68400000000000005</v>
      </c>
      <c r="U103" s="11">
        <f t="shared" si="33"/>
        <v>0.68920000000000015</v>
      </c>
      <c r="V103" s="90" t="s">
        <v>44</v>
      </c>
      <c r="W103" s="91">
        <f>INDEX(LINEST(T103:U103,(T$36:U$36)^{1}),1)</f>
        <v>1.0400000000000186E-3</v>
      </c>
      <c r="X103" s="91">
        <f>INDEX(LINEST(T103:U103,(T$36:U$36)^{1}),1,2)</f>
        <v>0.68296000000000001</v>
      </c>
      <c r="Z103" s="137">
        <v>0.68400000000000005</v>
      </c>
    </row>
    <row r="104" spans="1:26" x14ac:dyDescent="0.25">
      <c r="A104" s="83"/>
      <c r="B104" s="4">
        <v>60</v>
      </c>
      <c r="C104" s="1">
        <v>0.72</v>
      </c>
      <c r="D104" s="1">
        <f t="shared" si="34"/>
        <v>0.7</v>
      </c>
      <c r="E104" s="11">
        <f t="shared" si="35"/>
        <v>1.0043668122270741</v>
      </c>
      <c r="F104" s="49">
        <f t="shared" si="30"/>
        <v>0.99680789320951835</v>
      </c>
      <c r="G104" s="12">
        <f t="shared" si="36"/>
        <v>0.68435999999999997</v>
      </c>
      <c r="H104" s="12">
        <f t="shared" si="36"/>
        <v>0.68479999999999996</v>
      </c>
      <c r="I104" s="12">
        <f t="shared" si="36"/>
        <v>0.68523999999999996</v>
      </c>
      <c r="J104" s="12">
        <f t="shared" si="36"/>
        <v>0.68568000000000007</v>
      </c>
      <c r="K104" s="12">
        <f t="shared" si="36"/>
        <v>0.68612000000000006</v>
      </c>
      <c r="L104" s="164">
        <f t="shared" si="36"/>
        <v>0.68656000000000006</v>
      </c>
      <c r="M104" s="137">
        <v>0.68700000000000006</v>
      </c>
      <c r="N104" s="12">
        <f t="shared" si="36"/>
        <v>0.68744000000000005</v>
      </c>
      <c r="O104" s="127">
        <f t="shared" si="32"/>
        <v>0.68788000000000016</v>
      </c>
      <c r="P104" s="12">
        <f t="shared" si="32"/>
        <v>0.68832000000000015</v>
      </c>
      <c r="Q104" s="12">
        <f t="shared" si="32"/>
        <v>0.68876000000000015</v>
      </c>
      <c r="R104" s="132">
        <f t="shared" si="37"/>
        <v>0.68920000000000015</v>
      </c>
      <c r="S104" s="124">
        <f t="shared" si="39"/>
        <v>3.0000000000000027E-3</v>
      </c>
      <c r="T104" s="11">
        <f t="shared" si="38"/>
        <v>0.68700000000000006</v>
      </c>
      <c r="U104" s="11">
        <f t="shared" si="33"/>
        <v>0.68920000000000015</v>
      </c>
      <c r="V104" s="90" t="s">
        <v>44</v>
      </c>
      <c r="W104" s="91">
        <f>INDEX(LINEST(T104:U104,(T$36:U$36)^{1}),1)</f>
        <v>4.4000000000001801E-4</v>
      </c>
      <c r="X104" s="91">
        <f>INDEX(LINEST(T104:U104,(T$36:U$36)^{1}),1,2)</f>
        <v>0.68656000000000006</v>
      </c>
      <c r="Z104" s="137">
        <v>0.68700000000000006</v>
      </c>
    </row>
    <row r="105" spans="1:26" x14ac:dyDescent="0.25">
      <c r="A105" s="83"/>
      <c r="B105" s="4">
        <v>70</v>
      </c>
      <c r="C105" s="5">
        <v>0.72</v>
      </c>
      <c r="D105" s="5">
        <f t="shared" si="34"/>
        <v>0.7</v>
      </c>
      <c r="E105" s="11">
        <f t="shared" si="35"/>
        <v>1.0145095763203715</v>
      </c>
      <c r="F105" s="52">
        <f>M105/M105</f>
        <v>1</v>
      </c>
      <c r="G105" s="53">
        <f t="shared" si="36"/>
        <v>0.68919999999999981</v>
      </c>
      <c r="H105" s="53">
        <f t="shared" si="36"/>
        <v>0.68919999999999981</v>
      </c>
      <c r="I105" s="53">
        <f t="shared" si="36"/>
        <v>0.68919999999999981</v>
      </c>
      <c r="J105" s="53">
        <f t="shared" si="36"/>
        <v>0.68919999999999992</v>
      </c>
      <c r="K105" s="53">
        <f t="shared" si="36"/>
        <v>0.68919999999999992</v>
      </c>
      <c r="L105" s="166">
        <f t="shared" si="36"/>
        <v>0.68919999999999992</v>
      </c>
      <c r="M105" s="139">
        <v>0.68920000000000003</v>
      </c>
      <c r="N105" s="53">
        <f>($W105*N$36)+$X105</f>
        <v>0.68919999999999992</v>
      </c>
      <c r="O105" s="129">
        <f t="shared" si="32"/>
        <v>0.68920000000000003</v>
      </c>
      <c r="P105" s="53">
        <f t="shared" si="32"/>
        <v>0.68920000000000003</v>
      </c>
      <c r="Q105" s="53">
        <f t="shared" si="32"/>
        <v>0.68920000000000003</v>
      </c>
      <c r="R105" s="134">
        <f t="shared" si="37"/>
        <v>0.68920000000000015</v>
      </c>
      <c r="S105" s="124">
        <f t="shared" si="39"/>
        <v>2.1999999999999797E-3</v>
      </c>
      <c r="T105" s="11">
        <f>M105</f>
        <v>0.68920000000000003</v>
      </c>
      <c r="U105" s="11">
        <f>R105</f>
        <v>0.68920000000000015</v>
      </c>
      <c r="V105" s="90" t="s">
        <v>44</v>
      </c>
      <c r="W105" s="91">
        <f>INDEX(LINEST(T105:U105,(T$36:U$36)^{1}),1)</f>
        <v>2.2204460492503129E-17</v>
      </c>
      <c r="X105" s="91">
        <f>INDEX(LINEST(T105:U105,(T$36:U$36)^{1}),1,2)</f>
        <v>0.68919999999999992</v>
      </c>
      <c r="Z105" s="139">
        <v>0.68920000000000003</v>
      </c>
    </row>
    <row r="106" spans="1:26" x14ac:dyDescent="0.25">
      <c r="A106" s="83"/>
      <c r="M106">
        <f>M105/M94</f>
        <v>1.7230000000000001</v>
      </c>
      <c r="S106" s="124"/>
      <c r="T106" s="1"/>
      <c r="U106" s="1"/>
      <c r="V106" s="90"/>
    </row>
    <row r="107" spans="1:26" ht="15.75" x14ac:dyDescent="0.25">
      <c r="D107" s="20" t="s">
        <v>78</v>
      </c>
      <c r="M107" s="170">
        <f>M105/M100</f>
        <v>1.0442424242424242</v>
      </c>
      <c r="T107" s="189" t="s">
        <v>131</v>
      </c>
      <c r="U107" s="1"/>
      <c r="V107" s="90"/>
    </row>
    <row r="108" spans="1:26" ht="15.75" x14ac:dyDescent="0.25">
      <c r="D108" s="20" t="s">
        <v>99</v>
      </c>
      <c r="T108" s="189" t="s">
        <v>132</v>
      </c>
      <c r="U108" s="1"/>
      <c r="V108" s="90"/>
    </row>
    <row r="109" spans="1:26" x14ac:dyDescent="0.25">
      <c r="D109" s="20" t="s">
        <v>100</v>
      </c>
      <c r="T109" s="1"/>
      <c r="U109" s="1"/>
      <c r="V109" s="90"/>
    </row>
    <row r="110" spans="1:26" x14ac:dyDescent="0.25">
      <c r="D110" s="20"/>
      <c r="T110" s="1"/>
      <c r="U110" s="1"/>
      <c r="V110" s="90"/>
    </row>
    <row r="111" spans="1:26" x14ac:dyDescent="0.25">
      <c r="B111" s="188" t="s">
        <v>130</v>
      </c>
      <c r="I111" s="190" t="s">
        <v>134</v>
      </c>
      <c r="J111" s="190"/>
      <c r="K111" s="190"/>
    </row>
    <row r="112" spans="1:26" x14ac:dyDescent="0.25">
      <c r="B112" s="174" t="s">
        <v>135</v>
      </c>
      <c r="H112" s="4" t="s">
        <v>9</v>
      </c>
      <c r="K112" s="42"/>
      <c r="L112" s="42" t="s">
        <v>147</v>
      </c>
      <c r="M112" s="204" t="s">
        <v>148</v>
      </c>
      <c r="N112" s="42" t="s">
        <v>149</v>
      </c>
      <c r="O112" s="42" t="s">
        <v>150</v>
      </c>
      <c r="P112" s="42"/>
      <c r="T112" s="122" t="s">
        <v>133</v>
      </c>
    </row>
    <row r="113" spans="1:25" x14ac:dyDescent="0.25">
      <c r="B113" s="98" t="s">
        <v>79</v>
      </c>
      <c r="C113" s="22"/>
      <c r="D113" s="23"/>
      <c r="H113" s="4">
        <v>1</v>
      </c>
      <c r="J113" s="63"/>
      <c r="K113" s="63"/>
      <c r="L113" s="63">
        <f t="shared" ref="L113" si="40">(L94*$D$114*SQRT(4*$D$116*$B$120/32.2)/12)*$H113/2</f>
        <v>1.058965952331997</v>
      </c>
      <c r="M113" s="63">
        <f>(M94*$D$114*SQRT(4*$D$116*$B$120/32.2)/12)*$H113/2</f>
        <v>1.2379774986345533</v>
      </c>
      <c r="N113" s="63">
        <f>(N94*$D$114*SQRT(4*$D$116*$B$120/32.2)/12)*$H113/2</f>
        <v>1.4169890449371099</v>
      </c>
      <c r="O113" s="63">
        <f>(O94*$D$114*SQRT(4*$D$116*$B$120/32.2)/12)*$H113/2</f>
        <v>1.5960005912396662</v>
      </c>
      <c r="P113" s="63"/>
      <c r="Q113" s="63"/>
      <c r="R113" s="63"/>
      <c r="T113" s="205">
        <f>'curve_rzeta_targetnu_add_2.5'!N113</f>
        <v>1.2077405257340126</v>
      </c>
      <c r="X113" s="146">
        <v>1.2</v>
      </c>
      <c r="Y113" s="3" t="s">
        <v>111</v>
      </c>
    </row>
    <row r="114" spans="1:25" x14ac:dyDescent="0.25">
      <c r="B114" s="104" t="s">
        <v>82</v>
      </c>
      <c r="C114" s="105" t="s">
        <v>83</v>
      </c>
      <c r="D114" s="116">
        <v>0.9</v>
      </c>
      <c r="H114" s="4">
        <v>2</v>
      </c>
      <c r="J114" s="58"/>
      <c r="K114" s="58"/>
      <c r="L114" s="58">
        <f t="shared" ref="L114:M124" si="41">(L95*$D$114*SQRT(4*$D$116*$B$120/32.2)/12)*$H114/2</f>
        <v>2.4596136942871305</v>
      </c>
      <c r="M114" s="58">
        <f t="shared" si="41"/>
        <v>2.760689821955054</v>
      </c>
      <c r="N114" s="58">
        <f t="shared" ref="N114:O114" si="42">(N95*$D$114*SQRT(4*$D$116*$B$120/32.2)/12)*$H114/2</f>
        <v>3.0617659496229774</v>
      </c>
      <c r="O114" s="58">
        <f t="shared" si="42"/>
        <v>3.3628420772909013</v>
      </c>
      <c r="P114" s="58"/>
      <c r="Q114" s="58"/>
      <c r="R114" s="58"/>
      <c r="T114" s="11">
        <f>'curve_rzeta_targetnu_add_2.5'!N114</f>
        <v>0.8498644378694703</v>
      </c>
      <c r="X114" s="147">
        <v>0.85</v>
      </c>
    </row>
    <row r="115" spans="1:25" x14ac:dyDescent="0.25">
      <c r="B115" s="104" t="s">
        <v>87</v>
      </c>
      <c r="C115" s="105" t="s">
        <v>88</v>
      </c>
      <c r="D115" s="116">
        <v>0.96</v>
      </c>
      <c r="H115" s="4">
        <v>3</v>
      </c>
      <c r="J115" s="67"/>
      <c r="K115" s="67"/>
      <c r="L115" s="67">
        <f t="shared" si="41"/>
        <v>4.0793834535005793</v>
      </c>
      <c r="M115" s="67">
        <f t="shared" si="41"/>
        <v>4.466003826324151</v>
      </c>
      <c r="N115" s="67">
        <f t="shared" ref="N115:O115" si="43">(N96*$D$114*SQRT(4*$D$116*$B$120/32.2)/12)*$H115/2</f>
        <v>4.8526241991477219</v>
      </c>
      <c r="O115" s="67">
        <f t="shared" si="43"/>
        <v>5.2392445719712928</v>
      </c>
      <c r="P115" s="67"/>
      <c r="Q115" s="67"/>
      <c r="R115" s="67"/>
      <c r="T115" s="205">
        <f>'curve_rzeta_targetnu_add_2.5'!N115</f>
        <v>0.75023860956387134</v>
      </c>
      <c r="X115" s="147">
        <v>0.75</v>
      </c>
    </row>
    <row r="116" spans="1:25" x14ac:dyDescent="0.25">
      <c r="B116" s="106" t="s">
        <v>91</v>
      </c>
      <c r="C116" s="112" t="s">
        <v>92</v>
      </c>
      <c r="D116" s="117">
        <v>85</v>
      </c>
      <c r="H116" s="4">
        <v>4</v>
      </c>
      <c r="J116" s="58"/>
      <c r="K116" s="58"/>
      <c r="L116" s="58">
        <f t="shared" si="41"/>
        <v>5.9888399473945162</v>
      </c>
      <c r="M116" s="58">
        <f t="shared" si="41"/>
        <v>6.4127234429269855</v>
      </c>
      <c r="N116" s="58">
        <f t="shared" ref="N116:O116" si="44">(N97*$D$114*SQRT(4*$D$116*$B$120/32.2)/12)*$H116/2</f>
        <v>6.8366069384594574</v>
      </c>
      <c r="O116" s="58">
        <f t="shared" si="44"/>
        <v>7.2604904339919294</v>
      </c>
      <c r="P116" s="58"/>
      <c r="Q116" s="58"/>
      <c r="R116" s="58"/>
      <c r="T116" s="11">
        <f>'curve_rzeta_targetnu_add_2.5'!N116</f>
        <v>0.71992523367346217</v>
      </c>
      <c r="X116" s="147">
        <v>0.72</v>
      </c>
    </row>
    <row r="117" spans="1:25" x14ac:dyDescent="0.25">
      <c r="B117" s="101" t="s">
        <v>81</v>
      </c>
      <c r="C117" s="102"/>
      <c r="D117" s="102"/>
      <c r="E117" s="103"/>
      <c r="H117" s="4">
        <v>5</v>
      </c>
      <c r="J117" s="58"/>
      <c r="K117" s="58"/>
      <c r="L117" s="58">
        <f t="shared" si="41"/>
        <v>8.0431398086286929</v>
      </c>
      <c r="M117" s="58">
        <f t="shared" si="41"/>
        <v>8.4801458656466906</v>
      </c>
      <c r="N117" s="58">
        <f t="shared" ref="N117:O117" si="45">(N98*$D$114*SQRT(4*$D$116*$B$120/32.2)/12)*$H117/2</f>
        <v>8.9171519226646865</v>
      </c>
      <c r="O117" s="58">
        <f t="shared" si="45"/>
        <v>9.3541579796826859</v>
      </c>
      <c r="P117" s="58"/>
      <c r="Q117" s="58"/>
      <c r="R117" s="58"/>
      <c r="T117" s="11">
        <f>'curve_rzeta_targetnu_add_2.5'!N117</f>
        <v>0.70953702344417302</v>
      </c>
      <c r="X117" s="147">
        <v>0.71</v>
      </c>
    </row>
    <row r="118" spans="1:25" x14ac:dyDescent="0.25">
      <c r="B118" s="108" t="s">
        <v>85</v>
      </c>
      <c r="C118" s="109" t="s">
        <v>86</v>
      </c>
      <c r="D118" s="22"/>
      <c r="E118" s="23"/>
      <c r="H118" s="4">
        <v>10</v>
      </c>
      <c r="J118" s="67"/>
      <c r="K118" s="67"/>
      <c r="L118" s="67">
        <f t="shared" si="41"/>
        <v>18.723171689348984</v>
      </c>
      <c r="M118" s="67">
        <f t="shared" si="41"/>
        <v>19.157701791369711</v>
      </c>
      <c r="N118" s="67">
        <f t="shared" ref="N118:O118" si="46">(N99*$D$114*SQRT(4*$D$116*$B$120/32.2)/12)*$H118/2</f>
        <v>19.592231893390441</v>
      </c>
      <c r="O118" s="67">
        <f t="shared" si="46"/>
        <v>20.026761995411171</v>
      </c>
      <c r="P118" s="67"/>
      <c r="Q118" s="67"/>
      <c r="R118" s="67"/>
      <c r="T118" s="205">
        <f>'curve_rzeta_targetnu_add_2.5'!N118</f>
        <v>0.69976034251822494</v>
      </c>
      <c r="X118" s="147">
        <v>0.7</v>
      </c>
    </row>
    <row r="119" spans="1:25" x14ac:dyDescent="0.25">
      <c r="B119" s="110" t="s">
        <v>89</v>
      </c>
      <c r="C119" s="111" t="s">
        <v>90</v>
      </c>
      <c r="E119" s="25"/>
      <c r="H119" s="4">
        <v>20</v>
      </c>
      <c r="J119" s="58"/>
      <c r="K119" s="58"/>
      <c r="L119" s="58">
        <f t="shared" si="41"/>
        <v>40.491768025338963</v>
      </c>
      <c r="M119" s="58">
        <f t="shared" si="41"/>
        <v>40.853257454940255</v>
      </c>
      <c r="N119" s="58">
        <f t="shared" ref="N119:O119" si="47">(N100*$D$114*SQRT(4*$D$116*$B$120/32.2)/12)*$H119/2</f>
        <v>41.21474688454154</v>
      </c>
      <c r="O119" s="58">
        <f t="shared" si="47"/>
        <v>41.576236314142847</v>
      </c>
      <c r="P119" s="58"/>
      <c r="Q119" s="58"/>
      <c r="R119" s="58"/>
      <c r="T119" s="11">
        <f>'curve_rzeta_targetnu_add_2.5'!N119</f>
        <v>0.70037187182156613</v>
      </c>
      <c r="X119" s="147">
        <v>0.7</v>
      </c>
    </row>
    <row r="120" spans="1:25" x14ac:dyDescent="0.25">
      <c r="B120" s="113">
        <f>D115*2.20462*25.4*12</f>
        <v>645.0894489599998</v>
      </c>
      <c r="C120" s="27"/>
      <c r="D120" s="118"/>
      <c r="E120" s="29"/>
      <c r="H120" s="4">
        <v>30</v>
      </c>
      <c r="J120" s="58"/>
      <c r="K120" s="58"/>
      <c r="L120" s="58">
        <f t="shared" si="41"/>
        <v>62.186085711410875</v>
      </c>
      <c r="M120" s="58">
        <f t="shared" si="41"/>
        <v>62.486914243579072</v>
      </c>
      <c r="N120" s="58">
        <f t="shared" ref="N120:O120" si="48">(N101*$D$114*SQRT(4*$D$116*$B$120/32.2)/12)*$H120/2</f>
        <v>62.787742775747276</v>
      </c>
      <c r="O120" s="58">
        <f t="shared" si="48"/>
        <v>63.088571307915473</v>
      </c>
      <c r="P120" s="58"/>
      <c r="Q120" s="58"/>
      <c r="R120" s="58"/>
      <c r="T120" s="11">
        <f>'curve_rzeta_targetnu_add_2.5'!N120</f>
        <v>0.69990906404191422</v>
      </c>
      <c r="X120" s="147">
        <v>0.7</v>
      </c>
    </row>
    <row r="121" spans="1:25" x14ac:dyDescent="0.25">
      <c r="H121" s="4">
        <v>40</v>
      </c>
      <c r="J121" s="58"/>
      <c r="K121" s="58"/>
      <c r="L121" s="58">
        <f t="shared" si="41"/>
        <v>83.954682047400851</v>
      </c>
      <c r="M121" s="58">
        <f t="shared" si="41"/>
        <v>84.182469907149638</v>
      </c>
      <c r="N121" s="58">
        <f t="shared" ref="N121:O121" si="49">(N102*$D$114*SQRT(4*$D$116*$B$120/32.2)/12)*$H121/2</f>
        <v>84.410257766898383</v>
      </c>
      <c r="O121" s="58">
        <f t="shared" si="49"/>
        <v>84.638045626647141</v>
      </c>
      <c r="P121" s="58"/>
      <c r="Q121" s="58"/>
      <c r="R121" s="58"/>
      <c r="T121" s="11">
        <f>'curve_rzeta_targetnu_add_2.5'!N121</f>
        <v>0.70017764831266283</v>
      </c>
      <c r="X121" s="147">
        <v>0.7</v>
      </c>
    </row>
    <row r="122" spans="1:25" x14ac:dyDescent="0.25">
      <c r="B122" s="99" t="s">
        <v>80</v>
      </c>
      <c r="C122" s="100"/>
      <c r="H122" s="4">
        <v>50</v>
      </c>
      <c r="J122" s="58"/>
      <c r="K122" s="58"/>
      <c r="L122" s="58">
        <f t="shared" si="41"/>
        <v>105.68613905843181</v>
      </c>
      <c r="M122" s="58">
        <f t="shared" si="41"/>
        <v>105.8470761332543</v>
      </c>
      <c r="N122" s="58">
        <f t="shared" ref="N122:O122" si="50">(N103*$D$114*SQRT(4*$D$116*$B$120/32.2)/12)*$H122/2</f>
        <v>106.0080132080768</v>
      </c>
      <c r="O122" s="58">
        <f t="shared" si="50"/>
        <v>106.16895028289927</v>
      </c>
      <c r="P122" s="58"/>
      <c r="Q122" s="58"/>
      <c r="R122" s="58"/>
      <c r="T122" s="11">
        <f>'curve_rzeta_targetnu_add_2.5'!N122</f>
        <v>0.70013880361088177</v>
      </c>
      <c r="X122" s="147">
        <v>0.7</v>
      </c>
    </row>
    <row r="123" spans="1:25" x14ac:dyDescent="0.25">
      <c r="B123" s="106" t="s">
        <v>84</v>
      </c>
      <c r="C123" s="107">
        <v>0.7</v>
      </c>
      <c r="H123" s="4">
        <v>60</v>
      </c>
      <c r="J123" s="58"/>
      <c r="K123" s="58"/>
      <c r="L123" s="58">
        <f t="shared" si="41"/>
        <v>127.49187471938087</v>
      </c>
      <c r="M123" s="58">
        <f t="shared" si="41"/>
        <v>127.57358123429073</v>
      </c>
      <c r="N123" s="58">
        <f t="shared" ref="N123:O123" si="51">(N104*$D$114*SQRT(4*$D$116*$B$120/32.2)/12)*$H123/2</f>
        <v>127.6552877492006</v>
      </c>
      <c r="O123" s="58">
        <f t="shared" si="51"/>
        <v>127.73699426411051</v>
      </c>
      <c r="P123" s="58"/>
      <c r="Q123" s="58"/>
      <c r="R123" s="58"/>
      <c r="T123" s="11">
        <f>'curve_rzeta_targetnu_add_2.5'!N123</f>
        <v>0.70044623258341088</v>
      </c>
      <c r="X123" s="147">
        <v>0.7</v>
      </c>
    </row>
    <row r="124" spans="1:25" x14ac:dyDescent="0.25">
      <c r="H124" s="4">
        <v>70</v>
      </c>
      <c r="J124" s="67"/>
      <c r="K124" s="67"/>
      <c r="L124" s="67">
        <f t="shared" si="41"/>
        <v>149.31246611031344</v>
      </c>
      <c r="M124" s="67">
        <f t="shared" si="41"/>
        <v>149.31246611031349</v>
      </c>
      <c r="N124" s="67">
        <f t="shared" ref="N124:O124" si="52">(N105*$D$114*SQRT(4*$D$116*$B$120/32.2)/12)*$H124/2</f>
        <v>149.31246611031344</v>
      </c>
      <c r="O124" s="67">
        <f t="shared" si="52"/>
        <v>149.31246611031349</v>
      </c>
      <c r="P124" s="67"/>
      <c r="Q124" s="67"/>
      <c r="R124" s="67"/>
      <c r="T124" s="11">
        <f>'curve_rzeta_targetnu_add_2.5'!N124</f>
        <v>0.70072296621071162</v>
      </c>
      <c r="X124" s="148">
        <v>0.7</v>
      </c>
    </row>
    <row r="125" spans="1:25" x14ac:dyDescent="0.25">
      <c r="M125" s="114"/>
      <c r="S125" t="s">
        <v>137</v>
      </c>
    </row>
    <row r="126" spans="1:25" x14ac:dyDescent="0.25">
      <c r="M126" s="114"/>
    </row>
    <row r="127" spans="1:25" x14ac:dyDescent="0.25">
      <c r="M127" s="114"/>
    </row>
    <row r="128" spans="1:25" ht="15.75" thickBot="1" x14ac:dyDescent="0.3">
      <c r="A128" s="141"/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2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</row>
    <row r="129" spans="1:21" ht="15.75" thickTop="1" x14ac:dyDescent="0.25">
      <c r="M129" s="114"/>
    </row>
    <row r="130" spans="1:21" x14ac:dyDescent="0.25">
      <c r="M130" s="114"/>
    </row>
    <row r="131" spans="1:21" x14ac:dyDescent="0.25">
      <c r="A131" t="s">
        <v>73</v>
      </c>
      <c r="B131" t="s">
        <v>74</v>
      </c>
    </row>
    <row r="132" spans="1:21" x14ac:dyDescent="0.25">
      <c r="B132" s="20" t="s">
        <v>102</v>
      </c>
    </row>
    <row r="133" spans="1:21" x14ac:dyDescent="0.25">
      <c r="A133" s="83"/>
      <c r="B133" s="20"/>
    </row>
    <row r="134" spans="1:21" x14ac:dyDescent="0.25">
      <c r="A134" s="83"/>
      <c r="B134" s="135">
        <v>0.1545</v>
      </c>
      <c r="D134">
        <v>0.11924999999999999</v>
      </c>
    </row>
    <row r="135" spans="1:21" x14ac:dyDescent="0.25">
      <c r="A135" s="83"/>
      <c r="B135" s="85">
        <v>1</v>
      </c>
    </row>
    <row r="136" spans="1:21" x14ac:dyDescent="0.25">
      <c r="A136" s="83">
        <v>1</v>
      </c>
      <c r="B136" s="86">
        <f>B135+B$134</f>
        <v>1.1545000000000001</v>
      </c>
      <c r="H136" s="7"/>
      <c r="L136" s="21"/>
      <c r="M136" s="31" t="s">
        <v>38</v>
      </c>
      <c r="N136" s="32">
        <f>B136</f>
        <v>1.1545000000000001</v>
      </c>
      <c r="O136" s="32">
        <f>B137</f>
        <v>1.3090000000000002</v>
      </c>
      <c r="P136" s="32">
        <f>B138</f>
        <v>1.4635000000000002</v>
      </c>
      <c r="Q136" s="32">
        <f>B139</f>
        <v>1.6180000000000003</v>
      </c>
      <c r="R136" s="32">
        <f>B140</f>
        <v>1.7725000000000004</v>
      </c>
      <c r="S136" s="33"/>
    </row>
    <row r="137" spans="1:21" x14ac:dyDescent="0.25">
      <c r="A137" s="83">
        <v>2</v>
      </c>
      <c r="B137" s="86">
        <f t="shared" ref="B137:B141" si="53">B136+B$134</f>
        <v>1.3090000000000002</v>
      </c>
      <c r="L137" s="34"/>
      <c r="M137" s="35">
        <v>1</v>
      </c>
      <c r="N137" s="35">
        <v>2</v>
      </c>
      <c r="O137" s="35">
        <v>3</v>
      </c>
      <c r="P137" s="35">
        <v>4</v>
      </c>
      <c r="Q137" s="35">
        <v>5</v>
      </c>
      <c r="R137" s="35">
        <v>6</v>
      </c>
      <c r="S137" s="36"/>
    </row>
    <row r="138" spans="1:21" x14ac:dyDescent="0.25">
      <c r="A138" s="83">
        <v>3</v>
      </c>
      <c r="B138" s="86">
        <f t="shared" si="53"/>
        <v>1.4635000000000002</v>
      </c>
      <c r="K138" s="2" t="s">
        <v>76</v>
      </c>
      <c r="L138" s="24"/>
      <c r="M138" s="124">
        <v>0.36</v>
      </c>
      <c r="N138" s="11">
        <f>$M138*N136</f>
        <v>0.41561999999999999</v>
      </c>
      <c r="O138" s="11">
        <f>$M138*O136</f>
        <v>0.47124000000000005</v>
      </c>
      <c r="P138" s="11">
        <f>$M138*P136</f>
        <v>0.52686000000000011</v>
      </c>
      <c r="Q138" s="11">
        <f>$M138*Q136</f>
        <v>0.58248000000000011</v>
      </c>
      <c r="R138" s="130">
        <f>$M138*R136</f>
        <v>0.63810000000000011</v>
      </c>
      <c r="S138" s="36" t="s">
        <v>39</v>
      </c>
      <c r="T138" s="140">
        <f>R138/M160</f>
        <v>1.0001567398119124</v>
      </c>
      <c r="U138">
        <f>B134/T138</f>
        <v>0.15447578749412313</v>
      </c>
    </row>
    <row r="139" spans="1:21" x14ac:dyDescent="0.25">
      <c r="A139" s="83">
        <v>4</v>
      </c>
      <c r="B139" s="86">
        <f t="shared" si="53"/>
        <v>1.6180000000000003</v>
      </c>
      <c r="L139" s="26"/>
      <c r="M139" s="38">
        <f>M138</f>
        <v>0.36</v>
      </c>
      <c r="N139" s="38">
        <f t="shared" ref="N139:R139" si="54">N138</f>
        <v>0.41561999999999999</v>
      </c>
      <c r="O139" s="38">
        <f t="shared" si="54"/>
        <v>0.47124000000000005</v>
      </c>
      <c r="P139" s="38">
        <f t="shared" si="54"/>
        <v>0.52686000000000011</v>
      </c>
      <c r="Q139" s="38">
        <f t="shared" si="54"/>
        <v>0.58248000000000011</v>
      </c>
      <c r="R139" s="38">
        <f t="shared" si="54"/>
        <v>0.63810000000000011</v>
      </c>
      <c r="S139" s="39" t="s">
        <v>42</v>
      </c>
    </row>
    <row r="140" spans="1:21" x14ac:dyDescent="0.25">
      <c r="A140" s="83">
        <v>5</v>
      </c>
      <c r="B140" s="86">
        <f t="shared" si="53"/>
        <v>1.7725000000000004</v>
      </c>
    </row>
    <row r="141" spans="1:21" x14ac:dyDescent="0.25">
      <c r="A141" s="83">
        <v>6</v>
      </c>
      <c r="B141" s="86">
        <f t="shared" si="53"/>
        <v>1.9270000000000005</v>
      </c>
      <c r="D141" t="s">
        <v>72</v>
      </c>
      <c r="K141" s="18"/>
      <c r="L141" s="20" t="s">
        <v>154</v>
      </c>
    </row>
    <row r="142" spans="1:21" x14ac:dyDescent="0.25">
      <c r="A142" s="83"/>
      <c r="B142" s="86"/>
      <c r="F142" s="40" t="s">
        <v>101</v>
      </c>
      <c r="G142" s="22"/>
      <c r="H142" s="22"/>
      <c r="I142" s="22"/>
      <c r="J142" s="22"/>
      <c r="K142" s="22"/>
      <c r="L142" s="179" t="s">
        <v>119</v>
      </c>
      <c r="M142" s="167"/>
      <c r="N142" s="22"/>
      <c r="O142" s="180" t="s">
        <v>125</v>
      </c>
      <c r="P142" s="22"/>
      <c r="Q142" s="55" t="s">
        <v>45</v>
      </c>
      <c r="R142" s="23"/>
    </row>
    <row r="143" spans="1:21" x14ac:dyDescent="0.25">
      <c r="A143" s="83"/>
      <c r="B143" s="86"/>
      <c r="F143" s="183"/>
      <c r="L143" s="181" t="s">
        <v>123</v>
      </c>
      <c r="M143" s="184"/>
      <c r="O143" s="185"/>
      <c r="Q143" s="186"/>
      <c r="R143" s="25"/>
    </row>
    <row r="144" spans="1:21" x14ac:dyDescent="0.25">
      <c r="A144" s="83"/>
      <c r="B144" s="20"/>
      <c r="F144" s="24"/>
      <c r="L144" s="182" t="s">
        <v>124</v>
      </c>
      <c r="O144" s="25"/>
      <c r="R144" s="25"/>
    </row>
    <row r="145" spans="1:24" x14ac:dyDescent="0.25">
      <c r="A145" s="83"/>
      <c r="F145" s="41"/>
      <c r="G145" s="42"/>
      <c r="H145" s="42"/>
      <c r="I145" s="42"/>
      <c r="J145" s="42"/>
      <c r="K145" s="42"/>
      <c r="L145" s="172" t="s">
        <v>151</v>
      </c>
      <c r="M145" s="42" t="s">
        <v>152</v>
      </c>
      <c r="N145" s="42" t="s">
        <v>153</v>
      </c>
      <c r="O145" s="173" t="s">
        <v>165</v>
      </c>
      <c r="P145" s="42"/>
      <c r="Q145" s="42"/>
      <c r="R145" s="43"/>
    </row>
    <row r="146" spans="1:24" x14ac:dyDescent="0.25">
      <c r="A146" s="83"/>
      <c r="C146" s="73" t="s">
        <v>34</v>
      </c>
      <c r="F146" s="44"/>
      <c r="G146" s="4">
        <v>-5</v>
      </c>
      <c r="H146" s="4">
        <v>-4</v>
      </c>
      <c r="I146" s="4">
        <v>-3</v>
      </c>
      <c r="J146" s="4">
        <v>-2</v>
      </c>
      <c r="K146" s="4">
        <v>-1</v>
      </c>
      <c r="L146" s="44">
        <v>0</v>
      </c>
      <c r="M146" s="4">
        <v>1</v>
      </c>
      <c r="N146" s="4">
        <v>2</v>
      </c>
      <c r="O146" s="45">
        <v>3</v>
      </c>
      <c r="P146" s="4">
        <v>4</v>
      </c>
      <c r="Q146" s="4">
        <v>5</v>
      </c>
      <c r="R146" s="45">
        <v>6</v>
      </c>
      <c r="T146" s="4">
        <v>1</v>
      </c>
      <c r="U146" s="4">
        <v>6</v>
      </c>
    </row>
    <row r="147" spans="1:24" x14ac:dyDescent="0.25">
      <c r="A147" s="83"/>
      <c r="B147" s="4"/>
      <c r="C147" s="4" t="s">
        <v>10</v>
      </c>
      <c r="D147" s="87" t="s">
        <v>37</v>
      </c>
      <c r="E147" s="73"/>
      <c r="F147" s="24"/>
      <c r="L147" s="24"/>
      <c r="N147" s="46" t="s">
        <v>43</v>
      </c>
      <c r="O147" s="25"/>
      <c r="R147" s="25"/>
      <c r="T147" t="s">
        <v>129</v>
      </c>
    </row>
    <row r="148" spans="1:24" x14ac:dyDescent="0.25">
      <c r="A148" s="83"/>
      <c r="B148" s="4" t="s">
        <v>9</v>
      </c>
      <c r="C148" s="88" t="s">
        <v>36</v>
      </c>
      <c r="D148" s="89">
        <v>-0.02</v>
      </c>
      <c r="E148" s="74"/>
      <c r="F148" s="24"/>
      <c r="G148" s="47"/>
      <c r="H148" s="47"/>
      <c r="I148" s="47"/>
      <c r="J148" s="47"/>
      <c r="K148" s="47"/>
      <c r="L148" s="162"/>
      <c r="M148" s="144">
        <f>M138</f>
        <v>0.36</v>
      </c>
      <c r="N148" s="144">
        <f>N138</f>
        <v>0.41561999999999999</v>
      </c>
      <c r="O148" s="145">
        <f t="shared" ref="O148:R148" si="55">O138</f>
        <v>0.47124000000000005</v>
      </c>
      <c r="P148" s="144">
        <f t="shared" si="55"/>
        <v>0.52686000000000011</v>
      </c>
      <c r="Q148" s="144">
        <f t="shared" si="55"/>
        <v>0.58248000000000011</v>
      </c>
      <c r="R148" s="145">
        <f t="shared" si="55"/>
        <v>0.63810000000000011</v>
      </c>
    </row>
    <row r="149" spans="1:24" x14ac:dyDescent="0.25">
      <c r="A149" s="83"/>
      <c r="B149" s="4">
        <v>1</v>
      </c>
      <c r="C149" s="6">
        <v>0.78</v>
      </c>
      <c r="D149" s="6">
        <f>C149+$D$93</f>
        <v>0.76</v>
      </c>
      <c r="E149" s="11">
        <f>M94/M149</f>
        <v>1.1111111111111112</v>
      </c>
      <c r="F149" s="49">
        <f t="shared" ref="F149:F159" si="56">M149/M150</f>
        <v>0.8571428571428571</v>
      </c>
      <c r="G149" s="13">
        <f>($W149*G$36)+$X149</f>
        <v>2.6280000000000026E-2</v>
      </c>
      <c r="H149" s="13">
        <f t="shared" ref="H149:K149" si="57">($W149*H$36)+$X149</f>
        <v>8.1900000000000028E-2</v>
      </c>
      <c r="I149" s="13">
        <f t="shared" si="57"/>
        <v>0.13752000000000003</v>
      </c>
      <c r="J149" s="13">
        <f t="shared" si="57"/>
        <v>0.19314000000000003</v>
      </c>
      <c r="K149" s="13">
        <f t="shared" si="57"/>
        <v>0.24876000000000004</v>
      </c>
      <c r="L149" s="163">
        <f>($W149*L$36)+$X149</f>
        <v>0.30438000000000004</v>
      </c>
      <c r="M149" s="123">
        <v>0.36</v>
      </c>
      <c r="N149" s="13">
        <f>($W149*N$36)+$X149</f>
        <v>0.41562000000000004</v>
      </c>
      <c r="O149" s="76">
        <f t="shared" ref="O149:Q160" si="58">($W149*O$36)+$X149</f>
        <v>0.47124000000000005</v>
      </c>
      <c r="P149" s="13">
        <f t="shared" si="58"/>
        <v>0.52686000000000011</v>
      </c>
      <c r="Q149" s="13">
        <f t="shared" si="58"/>
        <v>0.58248000000000011</v>
      </c>
      <c r="R149" s="131">
        <f>$R$138</f>
        <v>0.63810000000000011</v>
      </c>
      <c r="S149" s="12"/>
      <c r="T149" s="11">
        <f>M149</f>
        <v>0.36</v>
      </c>
      <c r="U149" s="11">
        <f t="shared" ref="U149:U159" si="59">R149</f>
        <v>0.63810000000000011</v>
      </c>
      <c r="V149" s="90" t="s">
        <v>44</v>
      </c>
      <c r="W149" s="91">
        <f>INDEX(LINEST(T149:U149,(T$36:U$36)^{1}),1)</f>
        <v>5.5620000000000003E-2</v>
      </c>
      <c r="X149" s="91">
        <f>INDEX(LINEST(T149:U149,(T$36:U$36)^{1}),1,2)</f>
        <v>0.30438000000000004</v>
      </c>
    </row>
    <row r="150" spans="1:24" x14ac:dyDescent="0.25">
      <c r="A150" s="83"/>
      <c r="B150" s="4">
        <v>2</v>
      </c>
      <c r="C150" s="1">
        <v>0.56999999999999995</v>
      </c>
      <c r="D150" s="1">
        <f t="shared" ref="D150:D160" si="60">C150+$D$93</f>
        <v>0.54999999999999993</v>
      </c>
      <c r="E150" s="11">
        <f t="shared" ref="E150:E160" si="61">M95/M150</f>
        <v>1.0619047619047619</v>
      </c>
      <c r="F150" s="49">
        <f t="shared" si="56"/>
        <v>0.91304347826086951</v>
      </c>
      <c r="G150" s="12">
        <f t="shared" ref="G150:N160" si="62">($W150*G$36)+$X150</f>
        <v>0.15827999999999984</v>
      </c>
      <c r="H150" s="12">
        <f t="shared" si="62"/>
        <v>0.20189999999999986</v>
      </c>
      <c r="I150" s="12">
        <f t="shared" si="62"/>
        <v>0.24551999999999988</v>
      </c>
      <c r="J150" s="12">
        <f t="shared" si="62"/>
        <v>0.2891399999999999</v>
      </c>
      <c r="K150" s="12">
        <f t="shared" si="62"/>
        <v>0.33275999999999994</v>
      </c>
      <c r="L150" s="164">
        <f t="shared" si="62"/>
        <v>0.37637999999999994</v>
      </c>
      <c r="M150" s="124">
        <v>0.42</v>
      </c>
      <c r="N150" s="12">
        <f t="shared" si="62"/>
        <v>0.46361999999999998</v>
      </c>
      <c r="O150" s="127">
        <f t="shared" si="58"/>
        <v>0.50724000000000002</v>
      </c>
      <c r="P150" s="12">
        <f t="shared" si="58"/>
        <v>0.55086000000000002</v>
      </c>
      <c r="Q150" s="12">
        <f t="shared" si="58"/>
        <v>0.59448000000000001</v>
      </c>
      <c r="R150" s="132">
        <f t="shared" ref="R150:R160" si="63">$R$138</f>
        <v>0.63810000000000011</v>
      </c>
      <c r="S150" s="12"/>
      <c r="T150" s="11">
        <f t="shared" ref="T150:T159" si="64">M150</f>
        <v>0.42</v>
      </c>
      <c r="U150" s="11">
        <f t="shared" si="59"/>
        <v>0.63810000000000011</v>
      </c>
      <c r="V150" s="90" t="s">
        <v>44</v>
      </c>
      <c r="W150" s="91">
        <f>INDEX(LINEST(T150:U150,(T$36:U$36)^{1}),1)</f>
        <v>4.362000000000002E-2</v>
      </c>
      <c r="X150" s="91">
        <f>INDEX(LINEST(T150:U150,(T$36:U$36)^{1}),1,2)</f>
        <v>0.37637999999999994</v>
      </c>
    </row>
    <row r="151" spans="1:24" x14ac:dyDescent="0.25">
      <c r="A151" s="83"/>
      <c r="B151" s="4">
        <v>3</v>
      </c>
      <c r="C151" s="5">
        <v>0.54</v>
      </c>
      <c r="D151" s="5">
        <f t="shared" si="60"/>
        <v>0.52</v>
      </c>
      <c r="E151" s="11">
        <f t="shared" si="61"/>
        <v>1.0456521739130433</v>
      </c>
      <c r="F151" s="49">
        <f t="shared" si="56"/>
        <v>0.92741935483870974</v>
      </c>
      <c r="G151" s="14">
        <f t="shared" si="62"/>
        <v>0.24628</v>
      </c>
      <c r="H151" s="14">
        <f t="shared" si="62"/>
        <v>0.28190000000000004</v>
      </c>
      <c r="I151" s="14">
        <f t="shared" si="62"/>
        <v>0.31752000000000002</v>
      </c>
      <c r="J151" s="14">
        <f t="shared" si="62"/>
        <v>0.35314000000000001</v>
      </c>
      <c r="K151" s="14">
        <f t="shared" si="62"/>
        <v>0.38876000000000005</v>
      </c>
      <c r="L151" s="165">
        <f t="shared" si="62"/>
        <v>0.42438000000000003</v>
      </c>
      <c r="M151" s="125">
        <v>0.46</v>
      </c>
      <c r="N151" s="14">
        <f t="shared" si="62"/>
        <v>0.49562000000000006</v>
      </c>
      <c r="O151" s="128">
        <f t="shared" si="58"/>
        <v>0.53124000000000005</v>
      </c>
      <c r="P151" s="14">
        <f t="shared" si="58"/>
        <v>0.56686000000000003</v>
      </c>
      <c r="Q151" s="14">
        <f t="shared" si="58"/>
        <v>0.60248000000000013</v>
      </c>
      <c r="R151" s="133">
        <f t="shared" si="63"/>
        <v>0.63810000000000011</v>
      </c>
      <c r="S151" s="12"/>
      <c r="T151" s="11">
        <f t="shared" si="64"/>
        <v>0.46</v>
      </c>
      <c r="U151" s="11">
        <f t="shared" si="59"/>
        <v>0.63810000000000011</v>
      </c>
      <c r="V151" s="90" t="s">
        <v>44</v>
      </c>
      <c r="W151" s="91">
        <f>INDEX(LINEST(T151:U151,(T$36:U$36)^{1}),1)</f>
        <v>3.5620000000000006E-2</v>
      </c>
      <c r="X151" s="91">
        <f>INDEX(LINEST(T151:U151,(T$36:U$36)^{1}),1,2)</f>
        <v>0.42438000000000003</v>
      </c>
    </row>
    <row r="152" spans="1:24" x14ac:dyDescent="0.25">
      <c r="A152" s="83"/>
      <c r="B152" s="4">
        <v>4</v>
      </c>
      <c r="C152" s="1">
        <v>0.53</v>
      </c>
      <c r="D152" s="1">
        <f t="shared" si="60"/>
        <v>0.51</v>
      </c>
      <c r="E152" s="11">
        <f t="shared" si="61"/>
        <v>1.0443548387096775</v>
      </c>
      <c r="F152" s="49">
        <f t="shared" si="56"/>
        <v>0.93584905660377349</v>
      </c>
      <c r="G152" s="12">
        <f t="shared" si="62"/>
        <v>0.32547999999999994</v>
      </c>
      <c r="H152" s="12">
        <f t="shared" si="62"/>
        <v>0.35389999999999994</v>
      </c>
      <c r="I152" s="12">
        <f t="shared" si="62"/>
        <v>0.38231999999999994</v>
      </c>
      <c r="J152" s="12">
        <f t="shared" si="62"/>
        <v>0.41073999999999999</v>
      </c>
      <c r="K152" s="12">
        <f t="shared" si="62"/>
        <v>0.43915999999999999</v>
      </c>
      <c r="L152" s="164">
        <f t="shared" si="62"/>
        <v>0.46758</v>
      </c>
      <c r="M152" s="124">
        <v>0.496</v>
      </c>
      <c r="N152" s="12">
        <f t="shared" si="62"/>
        <v>0.52442</v>
      </c>
      <c r="O152" s="127">
        <f t="shared" si="58"/>
        <v>0.55284</v>
      </c>
      <c r="P152" s="12">
        <f t="shared" si="58"/>
        <v>0.58126000000000011</v>
      </c>
      <c r="Q152" s="12">
        <f t="shared" si="58"/>
        <v>0.60968</v>
      </c>
      <c r="R152" s="132">
        <f t="shared" si="63"/>
        <v>0.63810000000000011</v>
      </c>
      <c r="S152" s="12"/>
      <c r="T152" s="11">
        <f t="shared" si="64"/>
        <v>0.496</v>
      </c>
      <c r="U152" s="11">
        <f t="shared" si="59"/>
        <v>0.63810000000000011</v>
      </c>
      <c r="V152" s="90" t="s">
        <v>44</v>
      </c>
      <c r="W152" s="91">
        <f>INDEX(LINEST(T152:U152,(T$36:U$36)^{1}),1)</f>
        <v>2.8420000000000015E-2</v>
      </c>
      <c r="X152" s="91">
        <f>INDEX(LINEST(T152:U152,(T$36:U$36)^{1}),1,2)</f>
        <v>0.46758</v>
      </c>
    </row>
    <row r="153" spans="1:24" x14ac:dyDescent="0.25">
      <c r="A153" s="83"/>
      <c r="B153" s="4">
        <v>5</v>
      </c>
      <c r="C153" s="1">
        <v>0.56000000000000005</v>
      </c>
      <c r="D153" s="1">
        <f t="shared" si="60"/>
        <v>0.54</v>
      </c>
      <c r="E153" s="11">
        <f t="shared" si="61"/>
        <v>1.0339622641509434</v>
      </c>
      <c r="F153" s="49">
        <f t="shared" si="56"/>
        <v>0.91537132987910197</v>
      </c>
      <c r="G153" s="12">
        <f t="shared" si="62"/>
        <v>0.40027999999999997</v>
      </c>
      <c r="H153" s="12">
        <f t="shared" si="62"/>
        <v>0.4219</v>
      </c>
      <c r="I153" s="12">
        <f t="shared" si="62"/>
        <v>0.44352000000000003</v>
      </c>
      <c r="J153" s="12">
        <f t="shared" si="62"/>
        <v>0.46514</v>
      </c>
      <c r="K153" s="12">
        <f t="shared" si="62"/>
        <v>0.48676000000000003</v>
      </c>
      <c r="L153" s="164">
        <f t="shared" si="62"/>
        <v>0.50838000000000005</v>
      </c>
      <c r="M153" s="124">
        <v>0.53</v>
      </c>
      <c r="N153" s="12">
        <f t="shared" si="62"/>
        <v>0.55162000000000011</v>
      </c>
      <c r="O153" s="127">
        <f t="shared" si="58"/>
        <v>0.57324000000000008</v>
      </c>
      <c r="P153" s="12">
        <f t="shared" si="58"/>
        <v>0.59486000000000017</v>
      </c>
      <c r="Q153" s="12">
        <f t="shared" si="58"/>
        <v>0.61648000000000014</v>
      </c>
      <c r="R153" s="132">
        <f t="shared" si="63"/>
        <v>0.63810000000000011</v>
      </c>
      <c r="S153" s="12"/>
      <c r="T153" s="11">
        <f t="shared" si="64"/>
        <v>0.53</v>
      </c>
      <c r="U153" s="11">
        <f t="shared" si="59"/>
        <v>0.63810000000000011</v>
      </c>
      <c r="V153" s="90" t="s">
        <v>44</v>
      </c>
      <c r="W153" s="91">
        <f>INDEX(LINEST(T153:U153,(T$36:U$36)^{1}),1)</f>
        <v>2.1620000000000014E-2</v>
      </c>
      <c r="X153" s="91">
        <f>INDEX(LINEST(T153:U153,(T$36:U$36)^{1}),1,2)</f>
        <v>0.50838000000000005</v>
      </c>
    </row>
    <row r="154" spans="1:24" x14ac:dyDescent="0.25">
      <c r="A154" s="83"/>
      <c r="B154" s="4">
        <v>10</v>
      </c>
      <c r="C154" s="5">
        <v>0.64</v>
      </c>
      <c r="D154" s="5">
        <f t="shared" si="60"/>
        <v>0.62</v>
      </c>
      <c r="E154" s="11">
        <f t="shared" si="61"/>
        <v>1.069084628670121</v>
      </c>
      <c r="F154" s="49">
        <f t="shared" si="56"/>
        <v>0.94918032786885242</v>
      </c>
      <c r="G154" s="14">
        <f t="shared" si="62"/>
        <v>0.50807999999999975</v>
      </c>
      <c r="H154" s="14">
        <f t="shared" si="62"/>
        <v>0.51989999999999981</v>
      </c>
      <c r="I154" s="14">
        <f t="shared" si="62"/>
        <v>0.53171999999999986</v>
      </c>
      <c r="J154" s="14">
        <f t="shared" si="62"/>
        <v>0.5435399999999998</v>
      </c>
      <c r="K154" s="14">
        <f>($W154*K$36)+$X154</f>
        <v>0.55535999999999985</v>
      </c>
      <c r="L154" s="165">
        <f t="shared" si="62"/>
        <v>0.56717999999999991</v>
      </c>
      <c r="M154" s="125">
        <v>0.57899999999999996</v>
      </c>
      <c r="N154" s="14">
        <f>($W154*N$36)+$X154</f>
        <v>0.59082000000000001</v>
      </c>
      <c r="O154" s="128">
        <f t="shared" si="58"/>
        <v>0.60263999999999995</v>
      </c>
      <c r="P154" s="14">
        <f t="shared" si="58"/>
        <v>0.61446000000000001</v>
      </c>
      <c r="Q154" s="14">
        <f t="shared" si="58"/>
        <v>0.62628000000000006</v>
      </c>
      <c r="R154" s="133">
        <f t="shared" si="63"/>
        <v>0.63810000000000011</v>
      </c>
      <c r="S154" s="12"/>
      <c r="T154" s="11">
        <f t="shared" si="64"/>
        <v>0.57899999999999996</v>
      </c>
      <c r="U154" s="11">
        <f t="shared" si="59"/>
        <v>0.63810000000000011</v>
      </c>
      <c r="V154" s="90" t="s">
        <v>44</v>
      </c>
      <c r="W154" s="91">
        <f>INDEX(LINEST(T154:U154,(T$36:U$36)^{1}),1)</f>
        <v>1.1820000000000027E-2</v>
      </c>
      <c r="X154" s="91">
        <f>INDEX(LINEST(T154:U154,(T$36:U$36)^{1}),1,2)</f>
        <v>0.56717999999999991</v>
      </c>
    </row>
    <row r="155" spans="1:24" x14ac:dyDescent="0.25">
      <c r="A155" s="83"/>
      <c r="B155" s="4">
        <v>20</v>
      </c>
      <c r="C155" s="1">
        <v>0.66</v>
      </c>
      <c r="D155" s="1">
        <f t="shared" si="60"/>
        <v>0.64</v>
      </c>
      <c r="E155" s="11">
        <f t="shared" si="61"/>
        <v>1.0819672131147542</v>
      </c>
      <c r="F155" s="49">
        <f t="shared" si="56"/>
        <v>0.97913322632423749</v>
      </c>
      <c r="G155" s="12">
        <f t="shared" si="62"/>
        <v>0.57627999999999979</v>
      </c>
      <c r="H155" s="12">
        <f t="shared" si="62"/>
        <v>0.58189999999999986</v>
      </c>
      <c r="I155" s="12">
        <f t="shared" si="62"/>
        <v>0.58751999999999982</v>
      </c>
      <c r="J155" s="12">
        <f t="shared" si="62"/>
        <v>0.59313999999999989</v>
      </c>
      <c r="K155" s="12">
        <f t="shared" si="62"/>
        <v>0.59875999999999985</v>
      </c>
      <c r="L155" s="164">
        <f t="shared" si="62"/>
        <v>0.60437999999999992</v>
      </c>
      <c r="M155" s="124">
        <v>0.61</v>
      </c>
      <c r="N155" s="12">
        <f t="shared" si="62"/>
        <v>0.61561999999999995</v>
      </c>
      <c r="O155" s="127">
        <f t="shared" si="58"/>
        <v>0.62124000000000001</v>
      </c>
      <c r="P155" s="12">
        <f t="shared" si="58"/>
        <v>0.62685999999999997</v>
      </c>
      <c r="Q155" s="12">
        <f t="shared" si="58"/>
        <v>0.63248000000000004</v>
      </c>
      <c r="R155" s="132">
        <f t="shared" si="63"/>
        <v>0.63810000000000011</v>
      </c>
      <c r="S155" s="12"/>
      <c r="T155" s="11">
        <f t="shared" si="64"/>
        <v>0.61</v>
      </c>
      <c r="U155" s="11">
        <f t="shared" si="59"/>
        <v>0.63810000000000011</v>
      </c>
      <c r="V155" s="90" t="s">
        <v>44</v>
      </c>
      <c r="W155" s="91">
        <f>INDEX(LINEST(T155:U155,(T$36:U$36)^{1}),1)</f>
        <v>5.6200000000000243E-3</v>
      </c>
      <c r="X155" s="91">
        <f>INDEX(LINEST(T155:U155,(T$36:U$36)^{1}),1,2)</f>
        <v>0.60437999999999992</v>
      </c>
    </row>
    <row r="156" spans="1:24" x14ac:dyDescent="0.25">
      <c r="A156" s="83"/>
      <c r="B156" s="4">
        <v>30</v>
      </c>
      <c r="C156" s="1">
        <v>0.68</v>
      </c>
      <c r="D156" s="1">
        <f t="shared" si="60"/>
        <v>0.66</v>
      </c>
      <c r="E156" s="11">
        <f t="shared" si="61"/>
        <v>1.0802568218298556</v>
      </c>
      <c r="F156" s="49">
        <f t="shared" si="56"/>
        <v>0.98888888888888893</v>
      </c>
      <c r="G156" s="12">
        <f t="shared" si="62"/>
        <v>0.60487999999999986</v>
      </c>
      <c r="H156" s="12">
        <f t="shared" si="62"/>
        <v>0.60789999999999988</v>
      </c>
      <c r="I156" s="12">
        <f t="shared" si="62"/>
        <v>0.61091999999999991</v>
      </c>
      <c r="J156" s="12">
        <f t="shared" si="62"/>
        <v>0.61393999999999993</v>
      </c>
      <c r="K156" s="12">
        <f t="shared" si="62"/>
        <v>0.61695999999999995</v>
      </c>
      <c r="L156" s="164">
        <f t="shared" si="62"/>
        <v>0.61997999999999998</v>
      </c>
      <c r="M156" s="124">
        <v>0.623</v>
      </c>
      <c r="N156" s="12">
        <f t="shared" si="62"/>
        <v>0.62602000000000002</v>
      </c>
      <c r="O156" s="127">
        <f t="shared" si="58"/>
        <v>0.62904000000000004</v>
      </c>
      <c r="P156" s="12">
        <f t="shared" si="58"/>
        <v>0.63206000000000007</v>
      </c>
      <c r="Q156" s="12">
        <f t="shared" si="58"/>
        <v>0.63508000000000009</v>
      </c>
      <c r="R156" s="132">
        <f t="shared" si="63"/>
        <v>0.63810000000000011</v>
      </c>
      <c r="S156" s="12"/>
      <c r="T156" s="11">
        <f t="shared" si="64"/>
        <v>0.623</v>
      </c>
      <c r="U156" s="11">
        <f t="shared" si="59"/>
        <v>0.63810000000000011</v>
      </c>
      <c r="V156" s="90" t="s">
        <v>44</v>
      </c>
      <c r="W156" s="91">
        <f>INDEX(LINEST(T156:U156,(T$36:U$36)^{1}),1)</f>
        <v>3.0200000000000218E-3</v>
      </c>
      <c r="X156" s="91">
        <f>INDEX(LINEST(T156:U156,(T$36:U$36)^{1}),1,2)</f>
        <v>0.61997999999999998</v>
      </c>
    </row>
    <row r="157" spans="1:24" x14ac:dyDescent="0.25">
      <c r="A157" s="83"/>
      <c r="B157" s="4">
        <v>40</v>
      </c>
      <c r="C157" s="1">
        <v>0.69</v>
      </c>
      <c r="D157" s="1">
        <f t="shared" si="60"/>
        <v>0.66999999999999993</v>
      </c>
      <c r="E157" s="11">
        <f t="shared" si="61"/>
        <v>1.0793650793650795</v>
      </c>
      <c r="F157" s="49">
        <f t="shared" si="56"/>
        <v>0.99369085173501581</v>
      </c>
      <c r="G157" s="12">
        <f t="shared" si="62"/>
        <v>0.62027999999999983</v>
      </c>
      <c r="H157" s="12">
        <f t="shared" si="62"/>
        <v>0.6218999999999999</v>
      </c>
      <c r="I157" s="12">
        <f t="shared" si="62"/>
        <v>0.62351999999999985</v>
      </c>
      <c r="J157" s="12">
        <f t="shared" si="62"/>
        <v>0.62513999999999992</v>
      </c>
      <c r="K157" s="12">
        <f t="shared" si="62"/>
        <v>0.62675999999999987</v>
      </c>
      <c r="L157" s="164">
        <f t="shared" si="62"/>
        <v>0.62837999999999994</v>
      </c>
      <c r="M157" s="124">
        <v>0.63</v>
      </c>
      <c r="N157" s="12">
        <f t="shared" si="62"/>
        <v>0.63161999999999996</v>
      </c>
      <c r="O157" s="127">
        <f t="shared" si="58"/>
        <v>0.63324000000000003</v>
      </c>
      <c r="P157" s="12">
        <f t="shared" si="58"/>
        <v>0.63485999999999998</v>
      </c>
      <c r="Q157" s="12">
        <f t="shared" si="58"/>
        <v>0.63648000000000005</v>
      </c>
      <c r="R157" s="132">
        <f t="shared" si="63"/>
        <v>0.63810000000000011</v>
      </c>
      <c r="S157" s="12"/>
      <c r="T157" s="11">
        <f t="shared" si="64"/>
        <v>0.63</v>
      </c>
      <c r="U157" s="11">
        <f t="shared" si="59"/>
        <v>0.63810000000000011</v>
      </c>
      <c r="V157" s="90" t="s">
        <v>44</v>
      </c>
      <c r="W157" s="91">
        <f>INDEX(LINEST(T157:U157,(T$36:U$36)^{1}),1)</f>
        <v>1.6200000000000214E-3</v>
      </c>
      <c r="X157" s="91">
        <f>INDEX(LINEST(T157:U157,(T$36:U$36)^{1}),1,2)</f>
        <v>0.62837999999999994</v>
      </c>
    </row>
    <row r="158" spans="1:24" x14ac:dyDescent="0.25">
      <c r="A158" s="83"/>
      <c r="B158" s="4">
        <v>50</v>
      </c>
      <c r="C158" s="1">
        <v>0.71</v>
      </c>
      <c r="D158" s="1">
        <f t="shared" si="60"/>
        <v>0.69</v>
      </c>
      <c r="E158" s="11">
        <f t="shared" si="61"/>
        <v>1.078864353312303</v>
      </c>
      <c r="F158" s="49">
        <f t="shared" si="56"/>
        <v>0.9952904238618524</v>
      </c>
      <c r="G158" s="12">
        <f t="shared" si="62"/>
        <v>0.62907999999999986</v>
      </c>
      <c r="H158" s="12">
        <f t="shared" si="62"/>
        <v>0.6298999999999999</v>
      </c>
      <c r="I158" s="12">
        <f t="shared" si="62"/>
        <v>0.63071999999999995</v>
      </c>
      <c r="J158" s="12">
        <f t="shared" si="62"/>
        <v>0.63153999999999988</v>
      </c>
      <c r="K158" s="12">
        <f t="shared" si="62"/>
        <v>0.63235999999999992</v>
      </c>
      <c r="L158" s="164">
        <f t="shared" si="62"/>
        <v>0.63317999999999997</v>
      </c>
      <c r="M158" s="124">
        <v>0.63400000000000001</v>
      </c>
      <c r="N158" s="12">
        <f t="shared" si="62"/>
        <v>0.63482000000000005</v>
      </c>
      <c r="O158" s="127">
        <f t="shared" si="58"/>
        <v>0.63563999999999998</v>
      </c>
      <c r="P158" s="12">
        <f t="shared" si="58"/>
        <v>0.63646000000000003</v>
      </c>
      <c r="Q158" s="12">
        <f t="shared" si="58"/>
        <v>0.63728000000000007</v>
      </c>
      <c r="R158" s="132">
        <f t="shared" si="63"/>
        <v>0.63810000000000011</v>
      </c>
      <c r="S158" s="12"/>
      <c r="T158" s="11">
        <f t="shared" si="64"/>
        <v>0.63400000000000001</v>
      </c>
      <c r="U158" s="11">
        <f t="shared" si="59"/>
        <v>0.63810000000000011</v>
      </c>
      <c r="V158" s="90" t="s">
        <v>44</v>
      </c>
      <c r="W158" s="91">
        <f>INDEX(LINEST(T158:U158,(T$36:U$36)^{1}),1)</f>
        <v>8.2000000000002047E-4</v>
      </c>
      <c r="X158" s="91">
        <f>INDEX(LINEST(T158:U158,(T$36:U$36)^{1}),1,2)</f>
        <v>0.63317999999999997</v>
      </c>
    </row>
    <row r="159" spans="1:24" x14ac:dyDescent="0.25">
      <c r="A159" s="83"/>
      <c r="B159" s="4">
        <v>60</v>
      </c>
      <c r="C159" s="1">
        <v>0.72</v>
      </c>
      <c r="D159" s="1">
        <f t="shared" si="60"/>
        <v>0.7</v>
      </c>
      <c r="E159" s="11">
        <f t="shared" si="61"/>
        <v>1.0784929356357928</v>
      </c>
      <c r="F159" s="49">
        <f t="shared" si="56"/>
        <v>0.99843260188087779</v>
      </c>
      <c r="G159" s="12">
        <f t="shared" si="62"/>
        <v>0.63567999999999991</v>
      </c>
      <c r="H159" s="12">
        <f t="shared" si="62"/>
        <v>0.63589999999999991</v>
      </c>
      <c r="I159" s="12">
        <f t="shared" si="62"/>
        <v>0.63611999999999991</v>
      </c>
      <c r="J159" s="12">
        <f t="shared" si="62"/>
        <v>0.63634000000000002</v>
      </c>
      <c r="K159" s="12">
        <f t="shared" si="62"/>
        <v>0.63656000000000001</v>
      </c>
      <c r="L159" s="164">
        <f t="shared" si="62"/>
        <v>0.63678000000000001</v>
      </c>
      <c r="M159" s="124">
        <v>0.63700000000000001</v>
      </c>
      <c r="N159" s="12">
        <f t="shared" si="62"/>
        <v>0.63722000000000001</v>
      </c>
      <c r="O159" s="127">
        <f t="shared" si="58"/>
        <v>0.63744000000000012</v>
      </c>
      <c r="P159" s="12">
        <f t="shared" si="58"/>
        <v>0.63766000000000012</v>
      </c>
      <c r="Q159" s="12">
        <f t="shared" si="58"/>
        <v>0.63788000000000011</v>
      </c>
      <c r="R159" s="132">
        <f t="shared" si="63"/>
        <v>0.63810000000000011</v>
      </c>
      <c r="S159" s="12"/>
      <c r="T159" s="11">
        <f t="shared" si="64"/>
        <v>0.63700000000000001</v>
      </c>
      <c r="U159" s="11">
        <f t="shared" si="59"/>
        <v>0.63810000000000011</v>
      </c>
      <c r="V159" s="90" t="s">
        <v>44</v>
      </c>
      <c r="W159" s="91">
        <f>INDEX(LINEST(T159:U159,(T$36:U$36)^{1}),1)</f>
        <v>2.2000000000002009E-4</v>
      </c>
      <c r="X159" s="91">
        <f>INDEX(LINEST(T159:U159,(T$36:U$36)^{1}),1,2)</f>
        <v>0.63678000000000001</v>
      </c>
    </row>
    <row r="160" spans="1:24" x14ac:dyDescent="0.25">
      <c r="A160" s="83"/>
      <c r="B160" s="4">
        <v>70</v>
      </c>
      <c r="C160" s="5">
        <v>0.72</v>
      </c>
      <c r="D160" s="5">
        <f t="shared" si="60"/>
        <v>0.7</v>
      </c>
      <c r="E160" s="11">
        <f t="shared" si="61"/>
        <v>1.0802507836990596</v>
      </c>
      <c r="F160" s="52">
        <f>M160/M160</f>
        <v>1</v>
      </c>
      <c r="G160" s="53">
        <f t="shared" si="62"/>
        <v>0.63787999999999989</v>
      </c>
      <c r="H160" s="53">
        <f t="shared" si="62"/>
        <v>0.63789999999999991</v>
      </c>
      <c r="I160" s="53">
        <f t="shared" si="62"/>
        <v>0.63791999999999993</v>
      </c>
      <c r="J160" s="53">
        <f t="shared" si="62"/>
        <v>0.63793999999999995</v>
      </c>
      <c r="K160" s="53">
        <f t="shared" si="62"/>
        <v>0.63795999999999997</v>
      </c>
      <c r="L160" s="166">
        <f t="shared" si="62"/>
        <v>0.63797999999999999</v>
      </c>
      <c r="M160" s="203">
        <v>0.63800000000000001</v>
      </c>
      <c r="N160" s="53">
        <f>($W160*N$36)+$X160</f>
        <v>0.63802000000000003</v>
      </c>
      <c r="O160" s="129">
        <f t="shared" si="58"/>
        <v>0.63804000000000005</v>
      </c>
      <c r="P160" s="53">
        <f t="shared" si="58"/>
        <v>0.63806000000000007</v>
      </c>
      <c r="Q160" s="53">
        <f t="shared" si="58"/>
        <v>0.63808000000000009</v>
      </c>
      <c r="R160" s="134">
        <f t="shared" si="63"/>
        <v>0.63810000000000011</v>
      </c>
      <c r="S160" s="12"/>
      <c r="T160" s="11">
        <f>M160</f>
        <v>0.63800000000000001</v>
      </c>
      <c r="U160" s="11">
        <f>R160</f>
        <v>0.63810000000000011</v>
      </c>
      <c r="V160" s="90" t="s">
        <v>44</v>
      </c>
      <c r="W160" s="91">
        <f>INDEX(LINEST(T160:U160,(T$36:U$36)^{1}),1)</f>
        <v>2.0000000000019995E-5</v>
      </c>
      <c r="X160" s="91">
        <f>INDEX(LINEST(T160:U160,(T$36:U$36)^{1}),1,2)</f>
        <v>0.63797999999999999</v>
      </c>
    </row>
    <row r="161" spans="1:25" x14ac:dyDescent="0.25">
      <c r="A161" s="83"/>
      <c r="M161">
        <f>M160/M149</f>
        <v>1.7722222222222224</v>
      </c>
      <c r="T161" s="1"/>
      <c r="U161" s="1"/>
      <c r="V161" s="90"/>
    </row>
    <row r="162" spans="1:25" ht="15.75" x14ac:dyDescent="0.25">
      <c r="D162" s="20" t="s">
        <v>78</v>
      </c>
      <c r="M162" s="170">
        <f>M160/M155</f>
        <v>1.0459016393442624</v>
      </c>
      <c r="T162" s="189" t="s">
        <v>131</v>
      </c>
      <c r="U162" s="1"/>
      <c r="V162" s="90"/>
    </row>
    <row r="163" spans="1:25" ht="15.75" x14ac:dyDescent="0.25">
      <c r="D163" s="20" t="s">
        <v>99</v>
      </c>
      <c r="T163" s="189" t="s">
        <v>132</v>
      </c>
      <c r="U163" s="1"/>
      <c r="V163" s="90"/>
    </row>
    <row r="164" spans="1:25" ht="15.75" thickBot="1" x14ac:dyDescent="0.3">
      <c r="D164" s="20" t="s">
        <v>100</v>
      </c>
      <c r="T164" s="1"/>
    </row>
    <row r="165" spans="1:25" x14ac:dyDescent="0.25">
      <c r="D165" s="20"/>
      <c r="T165" s="1"/>
      <c r="V165" s="79" t="s">
        <v>136</v>
      </c>
      <c r="W165" s="81"/>
      <c r="X165" s="81"/>
      <c r="Y165" s="82"/>
    </row>
    <row r="166" spans="1:25" x14ac:dyDescent="0.25">
      <c r="T166" s="1"/>
      <c r="U166" s="7"/>
      <c r="V166" s="83"/>
      <c r="Y166" s="84"/>
    </row>
    <row r="167" spans="1:25" x14ac:dyDescent="0.25">
      <c r="B167" s="188" t="s">
        <v>130</v>
      </c>
      <c r="H167" s="4" t="s">
        <v>9</v>
      </c>
      <c r="I167" s="190" t="s">
        <v>134</v>
      </c>
      <c r="J167" s="190"/>
      <c r="K167" s="190"/>
      <c r="L167" s="172" t="s">
        <v>151</v>
      </c>
      <c r="M167" s="204" t="s">
        <v>152</v>
      </c>
      <c r="N167" s="42" t="s">
        <v>153</v>
      </c>
      <c r="O167" s="173" t="s">
        <v>165</v>
      </c>
      <c r="T167" s="122" t="s">
        <v>133</v>
      </c>
      <c r="V167" s="196" t="s">
        <v>77</v>
      </c>
      <c r="W167">
        <f>0.65/0.7</f>
        <v>0.92857142857142871</v>
      </c>
      <c r="X167" s="1" t="s">
        <v>103</v>
      </c>
      <c r="Y167" s="191" t="s">
        <v>112</v>
      </c>
    </row>
    <row r="168" spans="1:25" x14ac:dyDescent="0.25">
      <c r="B168" s="174" t="s">
        <v>135</v>
      </c>
      <c r="H168" s="4">
        <v>1</v>
      </c>
      <c r="J168" s="63"/>
      <c r="K168" s="63"/>
      <c r="L168" s="63">
        <f t="shared" ref="L168:O179" si="65">(L149*$D$114*SQRT(4*$D$116*$B$120/32.2)/12)*$H168/2</f>
        <v>0.94203897758596333</v>
      </c>
      <c r="M168" s="63">
        <f t="shared" si="65"/>
        <v>1.1141797487710978</v>
      </c>
      <c r="N168" s="63">
        <f t="shared" si="65"/>
        <v>1.2863205199562329</v>
      </c>
      <c r="O168" s="63">
        <f t="shared" si="65"/>
        <v>1.4584612911413675</v>
      </c>
      <c r="P168" s="63"/>
      <c r="Q168" s="63"/>
      <c r="R168" s="63"/>
      <c r="T168" s="205">
        <f>'curve_rzeta_targetnu_add_2.5'!N168</f>
        <v>1.1677414728880835</v>
      </c>
      <c r="V168" s="83"/>
      <c r="W168" s="153">
        <f t="shared" ref="W168:W179" si="66">X168*$W$167</f>
        <v>1.1142857142857143</v>
      </c>
      <c r="X168" s="149">
        <v>1.2</v>
      </c>
      <c r="Y168" s="192">
        <f>T168/W168</f>
        <v>1.0479731166944339</v>
      </c>
    </row>
    <row r="169" spans="1:25" x14ac:dyDescent="0.25">
      <c r="B169" s="174" t="s">
        <v>143</v>
      </c>
      <c r="H169" s="4">
        <v>2</v>
      </c>
      <c r="J169" s="58"/>
      <c r="K169" s="58"/>
      <c r="L169" s="58">
        <f t="shared" si="65"/>
        <v>2.3297498546803652</v>
      </c>
      <c r="M169" s="58">
        <f t="shared" si="65"/>
        <v>2.5997527471325617</v>
      </c>
      <c r="N169" s="58">
        <f t="shared" si="65"/>
        <v>2.8697556395847577</v>
      </c>
      <c r="O169" s="58">
        <f t="shared" si="65"/>
        <v>3.1397585320369541</v>
      </c>
      <c r="P169" s="58"/>
      <c r="Q169" s="58"/>
      <c r="R169" s="58"/>
      <c r="T169" s="11">
        <f>'curve_rzeta_targetnu_add_2.5'!N169</f>
        <v>0.82386505351961636</v>
      </c>
      <c r="U169" s="115"/>
      <c r="V169" s="83"/>
      <c r="W169" s="154">
        <f t="shared" si="66"/>
        <v>0.78928571428571437</v>
      </c>
      <c r="X169" s="150">
        <v>0.85</v>
      </c>
      <c r="Y169" s="192">
        <f t="shared" ref="Y169:Y173" si="67">T169/W169</f>
        <v>1.0438109275361653</v>
      </c>
    </row>
    <row r="170" spans="1:25" x14ac:dyDescent="0.25">
      <c r="H170" s="4">
        <v>3</v>
      </c>
      <c r="J170" s="67"/>
      <c r="K170" s="67"/>
      <c r="L170" s="67">
        <f t="shared" si="65"/>
        <v>3.9402966815289884</v>
      </c>
      <c r="M170" s="67">
        <f t="shared" si="65"/>
        <v>4.2710223702892094</v>
      </c>
      <c r="N170" s="67">
        <f t="shared" si="65"/>
        <v>4.60174805904943</v>
      </c>
      <c r="O170" s="67">
        <f t="shared" si="65"/>
        <v>4.9324737478096505</v>
      </c>
      <c r="P170" s="67"/>
      <c r="Q170" s="67"/>
      <c r="R170" s="67"/>
      <c r="T170" s="205">
        <f>'curve_rzeta_targetnu_add_2.5'!N170</f>
        <v>0.72923910681975856</v>
      </c>
      <c r="U170" s="115"/>
      <c r="V170" s="83"/>
      <c r="W170" s="157">
        <f t="shared" si="66"/>
        <v>0.69642857142857151</v>
      </c>
      <c r="X170" s="158">
        <v>0.75</v>
      </c>
      <c r="Y170" s="192">
        <f t="shared" si="67"/>
        <v>1.0471125636386276</v>
      </c>
    </row>
    <row r="171" spans="1:25" x14ac:dyDescent="0.25">
      <c r="H171" s="4">
        <v>4</v>
      </c>
      <c r="J171" s="58"/>
      <c r="K171" s="58"/>
      <c r="L171" s="58">
        <f t="shared" si="65"/>
        <v>5.7885351881154437</v>
      </c>
      <c r="M171" s="58">
        <f t="shared" si="65"/>
        <v>6.1403683932273845</v>
      </c>
      <c r="N171" s="58">
        <f t="shared" si="65"/>
        <v>6.4922015983393244</v>
      </c>
      <c r="O171" s="58">
        <f t="shared" si="65"/>
        <v>6.8440348034512644</v>
      </c>
      <c r="P171" s="58"/>
      <c r="Q171" s="58"/>
      <c r="R171" s="58"/>
      <c r="T171" s="11">
        <f>'curve_rzeta_targetnu_add_2.5'!N171</f>
        <v>0.69792575460820117</v>
      </c>
      <c r="U171" s="115"/>
      <c r="V171" s="83"/>
      <c r="W171" s="154">
        <f t="shared" si="66"/>
        <v>0.66857142857142859</v>
      </c>
      <c r="X171" s="150">
        <v>0.72</v>
      </c>
      <c r="Y171" s="192">
        <f t="shared" si="67"/>
        <v>1.0439060432173948</v>
      </c>
    </row>
    <row r="172" spans="1:25" x14ac:dyDescent="0.25">
      <c r="H172" s="4">
        <v>5</v>
      </c>
      <c r="J172" s="58"/>
      <c r="K172" s="58"/>
      <c r="L172" s="58">
        <f t="shared" si="65"/>
        <v>7.8670375094479281</v>
      </c>
      <c r="M172" s="58">
        <f t="shared" si="65"/>
        <v>8.2016009284539155</v>
      </c>
      <c r="N172" s="58">
        <f t="shared" si="65"/>
        <v>8.5361643474599056</v>
      </c>
      <c r="O172" s="58">
        <f t="shared" si="65"/>
        <v>8.8707277664658903</v>
      </c>
      <c r="P172" s="58"/>
      <c r="Q172" s="58"/>
      <c r="R172" s="58"/>
      <c r="T172" s="11">
        <f>'curve_rzeta_targetnu_add_2.5'!N172</f>
        <v>0.69153744966350494</v>
      </c>
      <c r="U172" s="115"/>
      <c r="V172" s="83"/>
      <c r="W172" s="154">
        <f t="shared" si="66"/>
        <v>0.65928571428571436</v>
      </c>
      <c r="X172" s="150">
        <v>0.71</v>
      </c>
      <c r="Y172" s="192">
        <f t="shared" si="67"/>
        <v>1.0489192085903649</v>
      </c>
    </row>
    <row r="173" spans="1:25" x14ac:dyDescent="0.25">
      <c r="H173" s="4">
        <v>10</v>
      </c>
      <c r="J173" s="67"/>
      <c r="K173" s="67"/>
      <c r="L173" s="67">
        <f t="shared" si="65"/>
        <v>17.553901941888647</v>
      </c>
      <c r="M173" s="67">
        <f t="shared" si="65"/>
        <v>17.919724292735157</v>
      </c>
      <c r="N173" s="67">
        <f t="shared" si="65"/>
        <v>18.285546643581668</v>
      </c>
      <c r="O173" s="67">
        <f t="shared" si="65"/>
        <v>18.651368994428175</v>
      </c>
      <c r="P173" s="67"/>
      <c r="Q173" s="67"/>
      <c r="R173" s="67"/>
      <c r="T173" s="205">
        <f>'curve_rzeta_targetnu_add_2.5'!N173</f>
        <v>0.65976128967229586</v>
      </c>
      <c r="U173" s="115"/>
      <c r="V173" s="83"/>
      <c r="W173" s="157">
        <f>X173*$W$167</f>
        <v>0.65</v>
      </c>
      <c r="X173" s="158">
        <v>0.7</v>
      </c>
      <c r="Y173" s="192">
        <f t="shared" si="67"/>
        <v>1.0150173687266091</v>
      </c>
    </row>
    <row r="174" spans="1:25" x14ac:dyDescent="0.25">
      <c r="H174" s="4">
        <v>20</v>
      </c>
      <c r="J174" s="58"/>
      <c r="K174" s="58"/>
      <c r="L174" s="58">
        <f t="shared" si="65"/>
        <v>37.410442031237558</v>
      </c>
      <c r="M174" s="58">
        <f t="shared" si="65"/>
        <v>37.758313708353874</v>
      </c>
      <c r="N174" s="58">
        <f t="shared" si="65"/>
        <v>38.106185385470177</v>
      </c>
      <c r="O174" s="58">
        <f t="shared" si="65"/>
        <v>38.4540570625865</v>
      </c>
      <c r="P174" s="58"/>
      <c r="Q174" s="58"/>
      <c r="R174" s="58"/>
      <c r="T174" s="11">
        <f>'curve_rzeta_targetnu_add_2.5'!N174</f>
        <v>0.65037305576415483</v>
      </c>
      <c r="U174" s="115"/>
      <c r="V174" s="83"/>
      <c r="W174" s="154">
        <f t="shared" si="66"/>
        <v>0.65</v>
      </c>
      <c r="X174" s="150">
        <v>0.7</v>
      </c>
      <c r="Y174" s="84"/>
    </row>
    <row r="175" spans="1:25" x14ac:dyDescent="0.25">
      <c r="H175" s="4">
        <v>30</v>
      </c>
      <c r="J175" s="58"/>
      <c r="K175" s="58"/>
      <c r="L175" s="58">
        <f t="shared" si="65"/>
        <v>57.564096720258767</v>
      </c>
      <c r="M175" s="58">
        <f t="shared" si="65"/>
        <v>57.844498623699501</v>
      </c>
      <c r="N175" s="58">
        <f t="shared" si="65"/>
        <v>58.124900527140241</v>
      </c>
      <c r="O175" s="58">
        <f t="shared" si="65"/>
        <v>58.405302430580953</v>
      </c>
      <c r="P175" s="58"/>
      <c r="Q175" s="58"/>
      <c r="R175" s="58"/>
      <c r="T175" s="11">
        <f>'curve_rzeta_targetnu_add_2.5'!N175</f>
        <v>0.64991024798450303</v>
      </c>
      <c r="U175" s="115"/>
      <c r="V175" s="83"/>
      <c r="W175" s="154">
        <f t="shared" si="66"/>
        <v>0.65</v>
      </c>
      <c r="X175" s="150">
        <v>0.7</v>
      </c>
      <c r="Y175" s="84"/>
    </row>
    <row r="176" spans="1:25" x14ac:dyDescent="0.25">
      <c r="H176" s="4">
        <v>40</v>
      </c>
      <c r="J176" s="58"/>
      <c r="K176" s="58"/>
      <c r="L176" s="58">
        <f t="shared" si="65"/>
        <v>77.792030059198055</v>
      </c>
      <c r="M176" s="58">
        <f t="shared" si="65"/>
        <v>77.992582413976862</v>
      </c>
      <c r="N176" s="58">
        <f t="shared" si="65"/>
        <v>78.193134768755655</v>
      </c>
      <c r="O176" s="58">
        <f t="shared" si="65"/>
        <v>78.393687123534463</v>
      </c>
      <c r="P176" s="58"/>
      <c r="Q176" s="58"/>
      <c r="R176" s="58"/>
      <c r="T176" s="11">
        <f>'curve_rzeta_targetnu_add_2.5'!N176</f>
        <v>0.6501788322552513</v>
      </c>
      <c r="U176" s="115"/>
      <c r="V176" s="83"/>
      <c r="W176" s="154">
        <f t="shared" si="66"/>
        <v>0.65</v>
      </c>
      <c r="X176" s="150">
        <v>0.7</v>
      </c>
      <c r="Y176" s="84"/>
    </row>
    <row r="177" spans="1:25" x14ac:dyDescent="0.25">
      <c r="H177" s="4">
        <v>50</v>
      </c>
      <c r="J177" s="58"/>
      <c r="K177" s="58"/>
      <c r="L177" s="58">
        <f t="shared" si="65"/>
        <v>97.982824073178293</v>
      </c>
      <c r="M177" s="58">
        <f t="shared" si="65"/>
        <v>98.109716766788338</v>
      </c>
      <c r="N177" s="58">
        <f t="shared" si="65"/>
        <v>98.236609460398398</v>
      </c>
      <c r="O177" s="58">
        <f t="shared" si="65"/>
        <v>98.36350215400843</v>
      </c>
      <c r="P177" s="58"/>
      <c r="Q177" s="58"/>
      <c r="R177" s="58"/>
      <c r="T177" s="11">
        <f>'curve_rzeta_targetnu_add_2.5'!N177</f>
        <v>0.65013998755347047</v>
      </c>
      <c r="V177" s="83"/>
      <c r="W177" s="154">
        <f t="shared" si="66"/>
        <v>0.65</v>
      </c>
      <c r="X177" s="150">
        <v>0.7</v>
      </c>
      <c r="Y177" s="84"/>
    </row>
    <row r="178" spans="1:25" x14ac:dyDescent="0.25">
      <c r="H178" s="4">
        <v>60</v>
      </c>
      <c r="J178" s="58"/>
      <c r="K178" s="58"/>
      <c r="L178" s="58">
        <f t="shared" si="65"/>
        <v>118.2478967370766</v>
      </c>
      <c r="M178" s="58">
        <f t="shared" si="65"/>
        <v>118.28874999453157</v>
      </c>
      <c r="N178" s="58">
        <f t="shared" si="65"/>
        <v>118.32960325198651</v>
      </c>
      <c r="O178" s="58">
        <f t="shared" si="65"/>
        <v>118.37045650944147</v>
      </c>
      <c r="P178" s="58"/>
      <c r="Q178" s="58"/>
      <c r="R178" s="58"/>
      <c r="T178" s="11">
        <f>'curve_rzeta_targetnu_add_2.5'!N178</f>
        <v>0.65044741652599947</v>
      </c>
      <c r="V178" s="83"/>
      <c r="W178" s="154">
        <f t="shared" si="66"/>
        <v>0.65</v>
      </c>
      <c r="X178" s="150">
        <v>0.7</v>
      </c>
      <c r="Y178" s="84"/>
    </row>
    <row r="179" spans="1:25" ht="15.75" thickBot="1" x14ac:dyDescent="0.3">
      <c r="H179" s="4">
        <v>70</v>
      </c>
      <c r="J179" s="67"/>
      <c r="K179" s="67"/>
      <c r="L179" s="67">
        <f t="shared" si="65"/>
        <v>138.21585480130264</v>
      </c>
      <c r="M179" s="67">
        <f t="shared" si="65"/>
        <v>138.22018772254788</v>
      </c>
      <c r="N179" s="67">
        <f t="shared" si="65"/>
        <v>138.22452064379311</v>
      </c>
      <c r="O179" s="67">
        <f t="shared" si="65"/>
        <v>138.22885356503832</v>
      </c>
      <c r="P179" s="67"/>
      <c r="Q179" s="67"/>
      <c r="R179" s="67"/>
      <c r="T179" s="11">
        <f>'curve_rzeta_targetnu_add_2.5'!N179</f>
        <v>0.64952417856792233</v>
      </c>
      <c r="V179" s="93"/>
      <c r="W179" s="193">
        <f t="shared" si="66"/>
        <v>0.65</v>
      </c>
      <c r="X179" s="194">
        <v>0.7</v>
      </c>
      <c r="Y179" s="97"/>
    </row>
    <row r="180" spans="1:25" x14ac:dyDescent="0.25">
      <c r="M180" s="114"/>
      <c r="S180" t="s">
        <v>137</v>
      </c>
    </row>
    <row r="181" spans="1:25" x14ac:dyDescent="0.25">
      <c r="M181" s="114"/>
    </row>
    <row r="182" spans="1:25" ht="15.75" thickBot="1" x14ac:dyDescent="0.3">
      <c r="A182" s="141"/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2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</row>
    <row r="183" spans="1:25" ht="15.75" thickTop="1" x14ac:dyDescent="0.25">
      <c r="M183" s="114"/>
    </row>
    <row r="184" spans="1:25" x14ac:dyDescent="0.25">
      <c r="M184" s="114"/>
    </row>
    <row r="185" spans="1:25" x14ac:dyDescent="0.25">
      <c r="A185" t="s">
        <v>73</v>
      </c>
      <c r="B185" t="s">
        <v>74</v>
      </c>
      <c r="X185">
        <v>0.437</v>
      </c>
    </row>
    <row r="186" spans="1:25" x14ac:dyDescent="0.25">
      <c r="B186" s="20" t="s">
        <v>108</v>
      </c>
      <c r="X186">
        <v>0.4</v>
      </c>
      <c r="Y186">
        <f>X186/X185</f>
        <v>0.91533180778032042</v>
      </c>
    </row>
    <row r="187" spans="1:25" x14ac:dyDescent="0.25">
      <c r="A187" s="83"/>
      <c r="B187" s="20"/>
      <c r="X187">
        <v>0.36499999999999999</v>
      </c>
      <c r="Y187">
        <f>X187/X186</f>
        <v>0.91249999999999998</v>
      </c>
    </row>
    <row r="188" spans="1:25" x14ac:dyDescent="0.25">
      <c r="A188" s="83"/>
      <c r="B188" s="135">
        <v>0.16200000000000001</v>
      </c>
      <c r="D188">
        <v>0.11924999999999999</v>
      </c>
      <c r="X188">
        <v>0.32500000000000001</v>
      </c>
      <c r="Y188">
        <f>X188/X187</f>
        <v>0.8904109589041096</v>
      </c>
    </row>
    <row r="189" spans="1:25" x14ac:dyDescent="0.25">
      <c r="A189" s="83"/>
      <c r="B189" s="85">
        <v>1</v>
      </c>
      <c r="X189">
        <v>0.28999999999999998</v>
      </c>
      <c r="Y189">
        <f>X189/X188</f>
        <v>0.89230769230769225</v>
      </c>
    </row>
    <row r="190" spans="1:25" x14ac:dyDescent="0.25">
      <c r="A190" s="83">
        <v>1</v>
      </c>
      <c r="B190" s="86">
        <f>B189+B$188</f>
        <v>1.1619999999999999</v>
      </c>
      <c r="H190" s="7"/>
      <c r="L190" s="21"/>
      <c r="M190" s="31" t="s">
        <v>38</v>
      </c>
      <c r="N190" s="32">
        <f>B190</f>
        <v>1.1619999999999999</v>
      </c>
      <c r="O190" s="32">
        <f>B191</f>
        <v>1.3239999999999998</v>
      </c>
      <c r="P190" s="32">
        <f>B192</f>
        <v>1.4859999999999998</v>
      </c>
      <c r="Q190" s="32">
        <f>B193</f>
        <v>1.6479999999999997</v>
      </c>
      <c r="R190" s="32">
        <f>B194</f>
        <v>1.8099999999999996</v>
      </c>
      <c r="S190" s="33"/>
      <c r="X190">
        <v>0.26</v>
      </c>
      <c r="Y190">
        <f>X190/X189</f>
        <v>0.89655172413793116</v>
      </c>
    </row>
    <row r="191" spans="1:25" x14ac:dyDescent="0.25">
      <c r="A191" s="83">
        <v>2</v>
      </c>
      <c r="B191" s="86">
        <f t="shared" ref="B191:B195" si="68">B190+B$188</f>
        <v>1.3239999999999998</v>
      </c>
      <c r="L191" s="34"/>
      <c r="M191" s="35">
        <v>1</v>
      </c>
      <c r="N191" s="35">
        <v>2</v>
      </c>
      <c r="O191" s="35">
        <v>3</v>
      </c>
      <c r="P191" s="35">
        <v>4</v>
      </c>
      <c r="Q191" s="35">
        <v>5</v>
      </c>
      <c r="R191" s="35">
        <v>6</v>
      </c>
      <c r="S191" s="36"/>
    </row>
    <row r="192" spans="1:25" x14ac:dyDescent="0.25">
      <c r="A192" s="83">
        <v>3</v>
      </c>
      <c r="B192" s="86">
        <f t="shared" si="68"/>
        <v>1.4859999999999998</v>
      </c>
      <c r="K192" s="2" t="s">
        <v>162</v>
      </c>
      <c r="L192" s="24"/>
      <c r="M192" s="124">
        <v>0.32500000000000001</v>
      </c>
      <c r="N192" s="11">
        <f>$M192*N190</f>
        <v>0.37764999999999999</v>
      </c>
      <c r="O192" s="11">
        <f>$M192*O190</f>
        <v>0.43029999999999996</v>
      </c>
      <c r="P192" s="11">
        <f>$M192*P190</f>
        <v>0.48294999999999993</v>
      </c>
      <c r="Q192" s="11">
        <f>$M192*Q190</f>
        <v>0.53559999999999997</v>
      </c>
      <c r="R192" s="130">
        <f>$M192*R190</f>
        <v>0.58824999999999994</v>
      </c>
      <c r="S192" s="36" t="s">
        <v>39</v>
      </c>
      <c r="T192" s="140">
        <f>R192/M214</f>
        <v>1.0000850051003061</v>
      </c>
      <c r="U192" s="171">
        <f>B188/T192</f>
        <v>0.16198623034424139</v>
      </c>
    </row>
    <row r="193" spans="1:24" x14ac:dyDescent="0.25">
      <c r="A193" s="83">
        <v>4</v>
      </c>
      <c r="B193" s="86">
        <f t="shared" si="68"/>
        <v>1.6479999999999997</v>
      </c>
      <c r="L193" s="26"/>
      <c r="M193" s="38">
        <f t="shared" ref="M193:R193" si="69">M192</f>
        <v>0.32500000000000001</v>
      </c>
      <c r="N193" s="38">
        <f t="shared" si="69"/>
        <v>0.37764999999999999</v>
      </c>
      <c r="O193" s="38">
        <f t="shared" si="69"/>
        <v>0.43029999999999996</v>
      </c>
      <c r="P193" s="38">
        <f t="shared" si="69"/>
        <v>0.48294999999999993</v>
      </c>
      <c r="Q193" s="38">
        <f t="shared" si="69"/>
        <v>0.53559999999999997</v>
      </c>
      <c r="R193" s="38">
        <f t="shared" si="69"/>
        <v>0.58824999999999994</v>
      </c>
      <c r="S193" s="39" t="s">
        <v>42</v>
      </c>
    </row>
    <row r="194" spans="1:24" x14ac:dyDescent="0.25">
      <c r="A194" s="83">
        <v>5</v>
      </c>
      <c r="B194" s="86">
        <f t="shared" si="68"/>
        <v>1.8099999999999996</v>
      </c>
    </row>
    <row r="195" spans="1:24" x14ac:dyDescent="0.25">
      <c r="A195" s="83">
        <v>6</v>
      </c>
      <c r="B195" s="86">
        <f t="shared" si="68"/>
        <v>1.9719999999999995</v>
      </c>
      <c r="D195" t="s">
        <v>72</v>
      </c>
      <c r="K195" s="18"/>
      <c r="L195" s="20" t="s">
        <v>154</v>
      </c>
    </row>
    <row r="196" spans="1:24" x14ac:dyDescent="0.25">
      <c r="A196" s="83"/>
      <c r="B196" s="86"/>
      <c r="F196" s="40" t="s">
        <v>101</v>
      </c>
      <c r="G196" s="22"/>
      <c r="H196" s="22"/>
      <c r="I196" s="22"/>
      <c r="J196" s="22"/>
      <c r="K196" s="22"/>
      <c r="L196" s="210" t="s">
        <v>119</v>
      </c>
      <c r="M196" s="211"/>
      <c r="N196" s="22"/>
      <c r="O196" s="167" t="s">
        <v>120</v>
      </c>
      <c r="P196" s="23"/>
      <c r="Q196" s="55" t="s">
        <v>45</v>
      </c>
      <c r="R196" s="23"/>
    </row>
    <row r="197" spans="1:24" x14ac:dyDescent="0.25">
      <c r="A197" s="83"/>
      <c r="B197" s="86"/>
      <c r="F197" s="183"/>
      <c r="L197" s="187" t="s">
        <v>123</v>
      </c>
      <c r="M197" s="212"/>
      <c r="O197" s="184"/>
      <c r="P197" s="25"/>
      <c r="Q197" s="186"/>
      <c r="R197" s="25"/>
    </row>
    <row r="198" spans="1:24" x14ac:dyDescent="0.25">
      <c r="A198" s="83"/>
      <c r="B198" s="20"/>
      <c r="F198" s="24"/>
      <c r="L198" s="207" t="s">
        <v>124</v>
      </c>
      <c r="M198" s="24"/>
      <c r="P198" s="25"/>
      <c r="R198" s="25"/>
    </row>
    <row r="199" spans="1:24" x14ac:dyDescent="0.25">
      <c r="A199" s="83"/>
      <c r="F199" s="41"/>
      <c r="G199" s="42"/>
      <c r="H199" s="42"/>
      <c r="I199" s="42"/>
      <c r="J199" s="42"/>
      <c r="K199" s="42"/>
      <c r="L199" s="42"/>
      <c r="M199" s="172" t="s">
        <v>163</v>
      </c>
      <c r="N199" s="42" t="s">
        <v>164</v>
      </c>
      <c r="O199" s="42" t="s">
        <v>174</v>
      </c>
      <c r="P199" s="173" t="s">
        <v>175</v>
      </c>
      <c r="Q199" s="42"/>
      <c r="R199" s="43"/>
    </row>
    <row r="200" spans="1:24" x14ac:dyDescent="0.25">
      <c r="A200" s="83"/>
      <c r="C200" s="73" t="s">
        <v>34</v>
      </c>
      <c r="F200" s="44"/>
      <c r="G200" s="4">
        <v>-5</v>
      </c>
      <c r="H200" s="4">
        <v>-4</v>
      </c>
      <c r="I200" s="4">
        <v>-3</v>
      </c>
      <c r="J200" s="4">
        <v>-2</v>
      </c>
      <c r="K200" s="4">
        <v>-1</v>
      </c>
      <c r="L200" s="4">
        <v>0</v>
      </c>
      <c r="M200" s="44">
        <v>1</v>
      </c>
      <c r="N200" s="4">
        <v>2</v>
      </c>
      <c r="O200" s="4">
        <v>3</v>
      </c>
      <c r="P200" s="45">
        <v>4</v>
      </c>
      <c r="Q200" s="4">
        <v>5</v>
      </c>
      <c r="R200" s="45">
        <v>6</v>
      </c>
      <c r="T200" s="4">
        <v>1</v>
      </c>
      <c r="U200" s="4">
        <v>6</v>
      </c>
    </row>
    <row r="201" spans="1:24" x14ac:dyDescent="0.25">
      <c r="A201" s="83"/>
      <c r="B201" s="4"/>
      <c r="C201" s="4" t="s">
        <v>10</v>
      </c>
      <c r="D201" s="87" t="s">
        <v>37</v>
      </c>
      <c r="E201" s="73"/>
      <c r="F201" s="24"/>
      <c r="M201" s="24"/>
      <c r="N201" s="46" t="s">
        <v>43</v>
      </c>
      <c r="P201" s="25"/>
      <c r="R201" s="25"/>
      <c r="T201" t="s">
        <v>129</v>
      </c>
    </row>
    <row r="202" spans="1:24" x14ac:dyDescent="0.25">
      <c r="A202" s="83"/>
      <c r="B202" s="4" t="s">
        <v>9</v>
      </c>
      <c r="C202" s="88" t="s">
        <v>36</v>
      </c>
      <c r="D202" s="89">
        <v>-0.02</v>
      </c>
      <c r="E202" s="74"/>
      <c r="F202" s="24"/>
      <c r="G202" s="47"/>
      <c r="H202" s="47"/>
      <c r="I202" s="47"/>
      <c r="J202" s="47"/>
      <c r="K202" s="47"/>
      <c r="L202" s="47"/>
      <c r="M202" s="213">
        <f>M192</f>
        <v>0.32500000000000001</v>
      </c>
      <c r="N202" s="144">
        <f>N192</f>
        <v>0.37764999999999999</v>
      </c>
      <c r="O202" s="144">
        <f t="shared" ref="O202:R202" si="70">O192</f>
        <v>0.43029999999999996</v>
      </c>
      <c r="P202" s="145">
        <f t="shared" si="70"/>
        <v>0.48294999999999993</v>
      </c>
      <c r="Q202" s="144">
        <f t="shared" si="70"/>
        <v>0.53559999999999997</v>
      </c>
      <c r="R202" s="145">
        <f t="shared" si="70"/>
        <v>0.58824999999999994</v>
      </c>
    </row>
    <row r="203" spans="1:24" x14ac:dyDescent="0.25">
      <c r="A203" s="83"/>
      <c r="B203" s="4">
        <v>1</v>
      </c>
      <c r="C203" s="6">
        <v>0.78</v>
      </c>
      <c r="D203" s="6">
        <f>C203+$D$93</f>
        <v>0.76</v>
      </c>
      <c r="E203" s="11">
        <f>M149/M203</f>
        <v>1.1076923076923075</v>
      </c>
      <c r="F203" s="49">
        <f t="shared" ref="F203:F213" si="71">M203/M204</f>
        <v>0.8125</v>
      </c>
      <c r="G203" s="13">
        <f>($W203*G$36)+$X203</f>
        <v>9.1000000000000525E-3</v>
      </c>
      <c r="H203" s="13">
        <f t="shared" ref="H203:K203" si="72">($W203*H$36)+$X203</f>
        <v>6.1750000000000055E-2</v>
      </c>
      <c r="I203" s="13">
        <f t="shared" si="72"/>
        <v>0.11440000000000003</v>
      </c>
      <c r="J203" s="13">
        <f t="shared" si="72"/>
        <v>0.16705000000000003</v>
      </c>
      <c r="K203" s="13">
        <f t="shared" si="72"/>
        <v>0.21970000000000001</v>
      </c>
      <c r="L203" s="13">
        <f>($W203*L$36)+$X203</f>
        <v>0.27234999999999998</v>
      </c>
      <c r="M203" s="214">
        <v>0.32500000000000001</v>
      </c>
      <c r="N203" s="13">
        <f>($W203*N$36)+$X203</f>
        <v>0.37764999999999993</v>
      </c>
      <c r="O203" s="13">
        <f t="shared" ref="O203:Q214" si="73">($W203*O$36)+$X203</f>
        <v>0.4302999999999999</v>
      </c>
      <c r="P203" s="76">
        <f t="shared" si="73"/>
        <v>0.48294999999999988</v>
      </c>
      <c r="Q203" s="13">
        <f t="shared" si="73"/>
        <v>0.53559999999999985</v>
      </c>
      <c r="R203" s="131">
        <f>$R$192</f>
        <v>0.58824999999999994</v>
      </c>
      <c r="S203" s="130"/>
      <c r="T203" s="11">
        <f>M203</f>
        <v>0.32500000000000001</v>
      </c>
      <c r="U203" s="11">
        <f t="shared" ref="U203:U213" si="74">R203</f>
        <v>0.58824999999999994</v>
      </c>
      <c r="V203" s="90" t="s">
        <v>44</v>
      </c>
      <c r="W203" s="91">
        <f>INDEX(LINEST(T203:U203,(T$36:U$36)^{1}),1)</f>
        <v>5.2649999999999982E-2</v>
      </c>
      <c r="X203" s="91">
        <f>INDEX(LINEST(T203:U203,(T$36:U$36)^{1}),1,2)</f>
        <v>0.27234999999999998</v>
      </c>
    </row>
    <row r="204" spans="1:24" x14ac:dyDescent="0.25">
      <c r="A204" s="83"/>
      <c r="B204" s="4">
        <v>2</v>
      </c>
      <c r="C204" s="1">
        <v>0.56999999999999995</v>
      </c>
      <c r="D204" s="1">
        <f t="shared" ref="D204:D214" si="75">C204+$D$93</f>
        <v>0.54999999999999993</v>
      </c>
      <c r="E204" s="11">
        <f t="shared" ref="E204:E214" si="76">M150/M204</f>
        <v>1.0499999999999998</v>
      </c>
      <c r="F204" s="49">
        <f t="shared" si="71"/>
        <v>0.91324200913242015</v>
      </c>
      <c r="G204" s="12">
        <f t="shared" ref="G204:N214" si="77">($W204*G$36)+$X204</f>
        <v>0.1741000000000002</v>
      </c>
      <c r="H204" s="12">
        <f t="shared" si="77"/>
        <v>0.21175000000000016</v>
      </c>
      <c r="I204" s="12">
        <f t="shared" si="77"/>
        <v>0.24940000000000012</v>
      </c>
      <c r="J204" s="12">
        <f t="shared" si="77"/>
        <v>0.28705000000000014</v>
      </c>
      <c r="K204" s="12">
        <f t="shared" si="77"/>
        <v>0.3247000000000001</v>
      </c>
      <c r="L204" s="12">
        <f t="shared" si="77"/>
        <v>0.36235000000000006</v>
      </c>
      <c r="M204" s="215">
        <v>0.4</v>
      </c>
      <c r="N204" s="12">
        <f t="shared" si="77"/>
        <v>0.43764999999999998</v>
      </c>
      <c r="O204" s="12">
        <f t="shared" si="73"/>
        <v>0.4753</v>
      </c>
      <c r="P204" s="127">
        <f t="shared" si="73"/>
        <v>0.51295000000000002</v>
      </c>
      <c r="Q204" s="12">
        <f t="shared" si="73"/>
        <v>0.55059999999999998</v>
      </c>
      <c r="R204" s="132">
        <f t="shared" ref="R204:R213" si="78">$R$192</f>
        <v>0.58824999999999994</v>
      </c>
      <c r="S204" s="130"/>
      <c r="T204" s="11">
        <f t="shared" ref="T204:T213" si="79">M204</f>
        <v>0.4</v>
      </c>
      <c r="U204" s="11">
        <f t="shared" si="74"/>
        <v>0.58824999999999994</v>
      </c>
      <c r="V204" s="90" t="s">
        <v>44</v>
      </c>
      <c r="W204" s="91">
        <f>INDEX(LINEST(T204:U204,(T$36:U$36)^{1}),1)</f>
        <v>3.7649999999999975E-2</v>
      </c>
      <c r="X204" s="91">
        <f>INDEX(LINEST(T204:U204,(T$36:U$36)^{1}),1,2)</f>
        <v>0.36235000000000006</v>
      </c>
    </row>
    <row r="205" spans="1:24" x14ac:dyDescent="0.25">
      <c r="A205" s="83"/>
      <c r="B205" s="4">
        <v>3</v>
      </c>
      <c r="C205" s="5">
        <v>0.54</v>
      </c>
      <c r="D205" s="5">
        <f t="shared" si="75"/>
        <v>0.52</v>
      </c>
      <c r="E205" s="11">
        <f t="shared" si="76"/>
        <v>1.0502283105022832</v>
      </c>
      <c r="F205" s="49">
        <f t="shared" si="71"/>
        <v>0.95842450765864329</v>
      </c>
      <c r="G205" s="14">
        <f t="shared" si="77"/>
        <v>0.25770000000000015</v>
      </c>
      <c r="H205" s="14">
        <f t="shared" si="77"/>
        <v>0.28775000000000012</v>
      </c>
      <c r="I205" s="14">
        <f t="shared" si="77"/>
        <v>0.31780000000000008</v>
      </c>
      <c r="J205" s="14">
        <f t="shared" si="77"/>
        <v>0.3478500000000001</v>
      </c>
      <c r="K205" s="14">
        <f t="shared" si="77"/>
        <v>0.37790000000000007</v>
      </c>
      <c r="L205" s="14">
        <f t="shared" si="77"/>
        <v>0.40795000000000003</v>
      </c>
      <c r="M205" s="216">
        <v>0.438</v>
      </c>
      <c r="N205" s="14">
        <f t="shared" si="77"/>
        <v>0.46804999999999997</v>
      </c>
      <c r="O205" s="14">
        <f t="shared" si="73"/>
        <v>0.49809999999999999</v>
      </c>
      <c r="P205" s="128">
        <f t="shared" si="73"/>
        <v>0.5281499999999999</v>
      </c>
      <c r="Q205" s="14">
        <f t="shared" si="73"/>
        <v>0.55819999999999992</v>
      </c>
      <c r="R205" s="133">
        <f t="shared" si="78"/>
        <v>0.58824999999999994</v>
      </c>
      <c r="S205" s="130"/>
      <c r="T205" s="11">
        <f t="shared" si="79"/>
        <v>0.438</v>
      </c>
      <c r="U205" s="11">
        <f t="shared" si="74"/>
        <v>0.58824999999999994</v>
      </c>
      <c r="V205" s="90" t="s">
        <v>44</v>
      </c>
      <c r="W205" s="91">
        <f>INDEX(LINEST(T205:U205,(T$36:U$36)^{1}),1)</f>
        <v>3.004999999999998E-2</v>
      </c>
      <c r="X205" s="91">
        <f>INDEX(LINEST(T205:U205,(T$36:U$36)^{1}),1,2)</f>
        <v>0.40795000000000003</v>
      </c>
    </row>
    <row r="206" spans="1:24" x14ac:dyDescent="0.25">
      <c r="A206" s="83"/>
      <c r="B206" s="4">
        <v>4</v>
      </c>
      <c r="C206" s="1">
        <v>0.53</v>
      </c>
      <c r="D206" s="1">
        <f t="shared" si="75"/>
        <v>0.51</v>
      </c>
      <c r="E206" s="11">
        <f t="shared" si="76"/>
        <v>1.0853391684901532</v>
      </c>
      <c r="F206" s="49">
        <f t="shared" si="71"/>
        <v>0.95208333333333339</v>
      </c>
      <c r="G206" s="12">
        <f t="shared" si="77"/>
        <v>0.29950000000000015</v>
      </c>
      <c r="H206" s="12">
        <f t="shared" si="77"/>
        <v>0.32575000000000015</v>
      </c>
      <c r="I206" s="12">
        <f t="shared" si="77"/>
        <v>0.35200000000000015</v>
      </c>
      <c r="J206" s="12">
        <f t="shared" si="77"/>
        <v>0.37825000000000009</v>
      </c>
      <c r="K206" s="12">
        <f t="shared" si="77"/>
        <v>0.40450000000000008</v>
      </c>
      <c r="L206" s="12">
        <f t="shared" si="77"/>
        <v>0.43075000000000008</v>
      </c>
      <c r="M206" s="215">
        <v>0.45700000000000002</v>
      </c>
      <c r="N206" s="12">
        <f t="shared" si="77"/>
        <v>0.48325000000000007</v>
      </c>
      <c r="O206" s="12">
        <f t="shared" si="73"/>
        <v>0.50950000000000006</v>
      </c>
      <c r="P206" s="127">
        <f t="shared" si="73"/>
        <v>0.53574999999999995</v>
      </c>
      <c r="Q206" s="12">
        <f t="shared" si="73"/>
        <v>0.56200000000000006</v>
      </c>
      <c r="R206" s="132">
        <f t="shared" si="78"/>
        <v>0.58824999999999994</v>
      </c>
      <c r="S206" s="130"/>
      <c r="T206" s="11">
        <f t="shared" si="79"/>
        <v>0.45700000000000002</v>
      </c>
      <c r="U206" s="11">
        <f t="shared" si="74"/>
        <v>0.58824999999999994</v>
      </c>
      <c r="V206" s="90" t="s">
        <v>44</v>
      </c>
      <c r="W206" s="91">
        <f>INDEX(LINEST(T206:U206,(T$36:U$36)^{1}),1)</f>
        <v>2.6249999999999982E-2</v>
      </c>
      <c r="X206" s="91">
        <f>INDEX(LINEST(T206:U206,(T$36:U$36)^{1}),1,2)</f>
        <v>0.43075000000000008</v>
      </c>
    </row>
    <row r="207" spans="1:24" x14ac:dyDescent="0.25">
      <c r="A207" s="83"/>
      <c r="B207" s="4">
        <v>5</v>
      </c>
      <c r="C207" s="1">
        <v>0.56000000000000005</v>
      </c>
      <c r="D207" s="1">
        <f t="shared" si="75"/>
        <v>0.54</v>
      </c>
      <c r="E207" s="11">
        <f t="shared" si="76"/>
        <v>1.1041666666666667</v>
      </c>
      <c r="F207" s="49">
        <f t="shared" si="71"/>
        <v>0.90737240075614356</v>
      </c>
      <c r="G207" s="12">
        <f t="shared" si="77"/>
        <v>0.35010000000000013</v>
      </c>
      <c r="H207" s="12">
        <f t="shared" si="77"/>
        <v>0.37175000000000014</v>
      </c>
      <c r="I207" s="12">
        <f t="shared" si="77"/>
        <v>0.39340000000000008</v>
      </c>
      <c r="J207" s="12">
        <f t="shared" si="77"/>
        <v>0.41505000000000009</v>
      </c>
      <c r="K207" s="12">
        <f t="shared" si="77"/>
        <v>0.43670000000000003</v>
      </c>
      <c r="L207" s="12">
        <f t="shared" si="77"/>
        <v>0.45835000000000004</v>
      </c>
      <c r="M207" s="215">
        <v>0.48</v>
      </c>
      <c r="N207" s="12">
        <f t="shared" si="77"/>
        <v>0.50165000000000004</v>
      </c>
      <c r="O207" s="12">
        <f t="shared" si="73"/>
        <v>0.52329999999999999</v>
      </c>
      <c r="P207" s="127">
        <f t="shared" si="73"/>
        <v>0.54494999999999993</v>
      </c>
      <c r="Q207" s="12">
        <f t="shared" si="73"/>
        <v>0.56659999999999999</v>
      </c>
      <c r="R207" s="132">
        <f t="shared" si="78"/>
        <v>0.58824999999999994</v>
      </c>
      <c r="S207" s="130"/>
      <c r="T207" s="11">
        <f t="shared" si="79"/>
        <v>0.48</v>
      </c>
      <c r="U207" s="11">
        <f t="shared" si="74"/>
        <v>0.58824999999999994</v>
      </c>
      <c r="V207" s="90" t="s">
        <v>44</v>
      </c>
      <c r="W207" s="91">
        <f>INDEX(LINEST(T207:U207,(T$36:U$36)^{1}),1)</f>
        <v>2.1649999999999982E-2</v>
      </c>
      <c r="X207" s="91">
        <f>INDEX(LINEST(T207:U207,(T$36:U$36)^{1}),1,2)</f>
        <v>0.45835000000000004</v>
      </c>
    </row>
    <row r="208" spans="1:24" x14ac:dyDescent="0.25">
      <c r="A208" s="83"/>
      <c r="B208" s="4">
        <v>10</v>
      </c>
      <c r="C208" s="5">
        <v>0.64</v>
      </c>
      <c r="D208" s="5">
        <f t="shared" si="75"/>
        <v>0.62</v>
      </c>
      <c r="E208" s="11">
        <f t="shared" si="76"/>
        <v>1.0945179584120981</v>
      </c>
      <c r="F208" s="49">
        <f t="shared" si="71"/>
        <v>0.94464285714285712</v>
      </c>
      <c r="G208" s="14">
        <f t="shared" si="77"/>
        <v>0.45790000000000008</v>
      </c>
      <c r="H208" s="14">
        <f t="shared" si="77"/>
        <v>0.46975000000000006</v>
      </c>
      <c r="I208" s="14">
        <f t="shared" si="77"/>
        <v>0.48160000000000003</v>
      </c>
      <c r="J208" s="14">
        <f t="shared" si="77"/>
        <v>0.49345000000000006</v>
      </c>
      <c r="K208" s="14">
        <f>($W208*K$36)+$X208</f>
        <v>0.50529999999999997</v>
      </c>
      <c r="L208" s="14">
        <f t="shared" si="77"/>
        <v>0.51715</v>
      </c>
      <c r="M208" s="216">
        <v>0.52900000000000003</v>
      </c>
      <c r="N208" s="14">
        <f>($W208*N$36)+$X208</f>
        <v>0.54084999999999994</v>
      </c>
      <c r="O208" s="14">
        <f t="shared" si="73"/>
        <v>0.55269999999999997</v>
      </c>
      <c r="P208" s="128">
        <f t="shared" si="73"/>
        <v>0.56454999999999989</v>
      </c>
      <c r="Q208" s="14">
        <f t="shared" si="73"/>
        <v>0.57639999999999991</v>
      </c>
      <c r="R208" s="133">
        <f t="shared" si="78"/>
        <v>0.58824999999999994</v>
      </c>
      <c r="S208" s="130"/>
      <c r="T208" s="11">
        <f t="shared" si="79"/>
        <v>0.52900000000000003</v>
      </c>
      <c r="U208" s="11">
        <f t="shared" si="74"/>
        <v>0.58824999999999994</v>
      </c>
      <c r="V208" s="90" t="s">
        <v>44</v>
      </c>
      <c r="W208" s="91">
        <f>INDEX(LINEST(T208:U208,(T$36:U$36)^{1}),1)</f>
        <v>1.1849999999999984E-2</v>
      </c>
      <c r="X208" s="91">
        <f>INDEX(LINEST(T208:U208,(T$36:U$36)^{1}),1,2)</f>
        <v>0.51715</v>
      </c>
    </row>
    <row r="209" spans="1:25" x14ac:dyDescent="0.25">
      <c r="A209" s="83"/>
      <c r="B209" s="4">
        <v>20</v>
      </c>
      <c r="C209" s="1">
        <v>0.66</v>
      </c>
      <c r="D209" s="1">
        <f t="shared" si="75"/>
        <v>0.64</v>
      </c>
      <c r="E209" s="11">
        <f t="shared" si="76"/>
        <v>1.0892857142857142</v>
      </c>
      <c r="F209" s="49">
        <f t="shared" si="71"/>
        <v>0.97731239092495659</v>
      </c>
      <c r="G209" s="12">
        <f t="shared" si="77"/>
        <v>0.52610000000000023</v>
      </c>
      <c r="H209" s="12">
        <f t="shared" si="77"/>
        <v>0.53175000000000017</v>
      </c>
      <c r="I209" s="12">
        <f t="shared" si="77"/>
        <v>0.53740000000000021</v>
      </c>
      <c r="J209" s="12">
        <f t="shared" si="77"/>
        <v>0.54305000000000014</v>
      </c>
      <c r="K209" s="12">
        <f t="shared" si="77"/>
        <v>0.54870000000000019</v>
      </c>
      <c r="L209" s="12">
        <f t="shared" si="77"/>
        <v>0.55435000000000012</v>
      </c>
      <c r="M209" s="215">
        <v>0.56000000000000005</v>
      </c>
      <c r="N209" s="12">
        <f t="shared" si="77"/>
        <v>0.5656500000000001</v>
      </c>
      <c r="O209" s="12">
        <f t="shared" si="73"/>
        <v>0.57130000000000003</v>
      </c>
      <c r="P209" s="127">
        <f t="shared" si="73"/>
        <v>0.57695000000000007</v>
      </c>
      <c r="Q209" s="12">
        <f t="shared" si="73"/>
        <v>0.58260000000000001</v>
      </c>
      <c r="R209" s="132">
        <f t="shared" si="78"/>
        <v>0.58824999999999994</v>
      </c>
      <c r="S209" s="130"/>
      <c r="T209" s="11">
        <f t="shared" si="79"/>
        <v>0.56000000000000005</v>
      </c>
      <c r="U209" s="11">
        <f t="shared" si="74"/>
        <v>0.58824999999999994</v>
      </c>
      <c r="V209" s="90" t="s">
        <v>44</v>
      </c>
      <c r="W209" s="91">
        <f>INDEX(LINEST(T209:U209,(T$36:U$36)^{1}),1)</f>
        <v>5.6499999999999745E-3</v>
      </c>
      <c r="X209" s="91">
        <f>INDEX(LINEST(T209:U209,(T$36:U$36)^{1}),1,2)</f>
        <v>0.55435000000000012</v>
      </c>
    </row>
    <row r="210" spans="1:25" x14ac:dyDescent="0.25">
      <c r="A210" s="83"/>
      <c r="B210" s="4">
        <v>30</v>
      </c>
      <c r="C210" s="1">
        <v>0.68</v>
      </c>
      <c r="D210" s="1">
        <f t="shared" si="75"/>
        <v>0.66</v>
      </c>
      <c r="E210" s="11">
        <f t="shared" si="76"/>
        <v>1.087260034904014</v>
      </c>
      <c r="F210" s="49">
        <f t="shared" si="71"/>
        <v>0.98793103448275865</v>
      </c>
      <c r="G210" s="12">
        <f t="shared" si="77"/>
        <v>0.55469999999999997</v>
      </c>
      <c r="H210" s="12">
        <f t="shared" si="77"/>
        <v>0.55774999999999997</v>
      </c>
      <c r="I210" s="12">
        <f t="shared" si="77"/>
        <v>0.56079999999999997</v>
      </c>
      <c r="J210" s="12">
        <f t="shared" si="77"/>
        <v>0.56384999999999996</v>
      </c>
      <c r="K210" s="12">
        <f t="shared" si="77"/>
        <v>0.56689999999999996</v>
      </c>
      <c r="L210" s="12">
        <f t="shared" si="77"/>
        <v>0.56994999999999996</v>
      </c>
      <c r="M210" s="215">
        <v>0.57299999999999995</v>
      </c>
      <c r="N210" s="12">
        <f t="shared" si="77"/>
        <v>0.57604999999999995</v>
      </c>
      <c r="O210" s="12">
        <f t="shared" si="73"/>
        <v>0.57909999999999995</v>
      </c>
      <c r="P210" s="127">
        <f t="shared" si="73"/>
        <v>0.58214999999999995</v>
      </c>
      <c r="Q210" s="12">
        <f t="shared" si="73"/>
        <v>0.58519999999999994</v>
      </c>
      <c r="R210" s="132">
        <f t="shared" si="78"/>
        <v>0.58824999999999994</v>
      </c>
      <c r="S210" s="130"/>
      <c r="T210" s="11">
        <f t="shared" si="79"/>
        <v>0.57299999999999995</v>
      </c>
      <c r="U210" s="11">
        <f t="shared" si="74"/>
        <v>0.58824999999999994</v>
      </c>
      <c r="V210" s="90" t="s">
        <v>44</v>
      </c>
      <c r="W210" s="91">
        <f>INDEX(LINEST(T210:U210,(T$36:U$36)^{1}),1)</f>
        <v>3.0499999999999967E-3</v>
      </c>
      <c r="X210" s="91">
        <f>INDEX(LINEST(T210:U210,(T$36:U$36)^{1}),1,2)</f>
        <v>0.56994999999999996</v>
      </c>
    </row>
    <row r="211" spans="1:25" x14ac:dyDescent="0.25">
      <c r="A211" s="83"/>
      <c r="B211" s="4">
        <v>40</v>
      </c>
      <c r="C211" s="1">
        <v>0.69</v>
      </c>
      <c r="D211" s="1">
        <f t="shared" si="75"/>
        <v>0.66999999999999993</v>
      </c>
      <c r="E211" s="11">
        <f t="shared" si="76"/>
        <v>1.0862068965517242</v>
      </c>
      <c r="F211" s="49">
        <f t="shared" si="71"/>
        <v>0.99315068493150682</v>
      </c>
      <c r="G211" s="12">
        <f t="shared" si="77"/>
        <v>0.57010000000000005</v>
      </c>
      <c r="H211" s="12">
        <f t="shared" si="77"/>
        <v>0.57175000000000009</v>
      </c>
      <c r="I211" s="12">
        <f t="shared" si="77"/>
        <v>0.57340000000000002</v>
      </c>
      <c r="J211" s="12">
        <f t="shared" si="77"/>
        <v>0.57505000000000006</v>
      </c>
      <c r="K211" s="12">
        <f t="shared" si="77"/>
        <v>0.57669999999999999</v>
      </c>
      <c r="L211" s="12">
        <f t="shared" si="77"/>
        <v>0.57835000000000003</v>
      </c>
      <c r="M211" s="215">
        <v>0.57999999999999996</v>
      </c>
      <c r="N211" s="12">
        <f t="shared" si="77"/>
        <v>0.58165</v>
      </c>
      <c r="O211" s="12">
        <f t="shared" si="73"/>
        <v>0.58330000000000004</v>
      </c>
      <c r="P211" s="127">
        <f t="shared" si="73"/>
        <v>0.58494999999999997</v>
      </c>
      <c r="Q211" s="12">
        <f t="shared" si="73"/>
        <v>0.58660000000000001</v>
      </c>
      <c r="R211" s="132">
        <f t="shared" si="78"/>
        <v>0.58824999999999994</v>
      </c>
      <c r="S211" s="130"/>
      <c r="T211" s="11">
        <f t="shared" si="79"/>
        <v>0.57999999999999996</v>
      </c>
      <c r="U211" s="11">
        <f t="shared" si="74"/>
        <v>0.58824999999999994</v>
      </c>
      <c r="V211" s="90" t="s">
        <v>44</v>
      </c>
      <c r="W211" s="91">
        <f>INDEX(LINEST(T211:U211,(T$36:U$36)^{1}),1)</f>
        <v>1.6499999999999952E-3</v>
      </c>
      <c r="X211" s="91">
        <f>INDEX(LINEST(T211:U211,(T$36:U$36)^{1}),1,2)</f>
        <v>0.57835000000000003</v>
      </c>
    </row>
    <row r="212" spans="1:25" x14ac:dyDescent="0.25">
      <c r="A212" s="83"/>
      <c r="B212" s="4">
        <v>50</v>
      </c>
      <c r="C212" s="1">
        <v>0.71</v>
      </c>
      <c r="D212" s="1">
        <f t="shared" si="75"/>
        <v>0.69</v>
      </c>
      <c r="E212" s="11">
        <f t="shared" si="76"/>
        <v>1.0856164383561644</v>
      </c>
      <c r="F212" s="49">
        <f t="shared" si="71"/>
        <v>0.9948892674616695</v>
      </c>
      <c r="G212" s="12">
        <f t="shared" si="77"/>
        <v>0.57890000000000008</v>
      </c>
      <c r="H212" s="12">
        <f t="shared" si="77"/>
        <v>0.5797500000000001</v>
      </c>
      <c r="I212" s="12">
        <f t="shared" si="77"/>
        <v>0.58060000000000012</v>
      </c>
      <c r="J212" s="12">
        <f t="shared" si="77"/>
        <v>0.58145000000000002</v>
      </c>
      <c r="K212" s="12">
        <f t="shared" si="77"/>
        <v>0.58230000000000004</v>
      </c>
      <c r="L212" s="12">
        <f t="shared" si="77"/>
        <v>0.58315000000000006</v>
      </c>
      <c r="M212" s="215">
        <v>0.58399999999999996</v>
      </c>
      <c r="N212" s="12">
        <f t="shared" si="77"/>
        <v>0.58485000000000009</v>
      </c>
      <c r="O212" s="12">
        <f t="shared" si="73"/>
        <v>0.5857</v>
      </c>
      <c r="P212" s="127">
        <f t="shared" si="73"/>
        <v>0.58655000000000002</v>
      </c>
      <c r="Q212" s="12">
        <f t="shared" si="73"/>
        <v>0.58740000000000003</v>
      </c>
      <c r="R212" s="132">
        <f t="shared" si="78"/>
        <v>0.58824999999999994</v>
      </c>
      <c r="S212" s="130"/>
      <c r="T212" s="11">
        <f t="shared" si="79"/>
        <v>0.58399999999999996</v>
      </c>
      <c r="U212" s="11">
        <f t="shared" si="74"/>
        <v>0.58824999999999994</v>
      </c>
      <c r="V212" s="90" t="s">
        <v>44</v>
      </c>
      <c r="W212" s="91">
        <f>INDEX(LINEST(T212:U212,(T$36:U$36)^{1}),1)</f>
        <v>8.4999999999999529E-4</v>
      </c>
      <c r="X212" s="91">
        <f>INDEX(LINEST(T212:U212,(T$36:U$36)^{1}),1,2)</f>
        <v>0.58315000000000006</v>
      </c>
    </row>
    <row r="213" spans="1:25" x14ac:dyDescent="0.25">
      <c r="A213" s="83"/>
      <c r="B213" s="4">
        <v>60</v>
      </c>
      <c r="C213" s="1">
        <v>0.72</v>
      </c>
      <c r="D213" s="1">
        <f t="shared" si="75"/>
        <v>0.7</v>
      </c>
      <c r="E213" s="11">
        <f t="shared" si="76"/>
        <v>1.0851788756388416</v>
      </c>
      <c r="F213" s="49">
        <f t="shared" si="71"/>
        <v>0.99795987759265559</v>
      </c>
      <c r="G213" s="12">
        <f t="shared" si="77"/>
        <v>0.58550000000000002</v>
      </c>
      <c r="H213" s="12">
        <f t="shared" si="77"/>
        <v>0.58574999999999999</v>
      </c>
      <c r="I213" s="12">
        <f t="shared" si="77"/>
        <v>0.58599999999999997</v>
      </c>
      <c r="J213" s="12">
        <f t="shared" si="77"/>
        <v>0.58625000000000005</v>
      </c>
      <c r="K213" s="12">
        <f t="shared" si="77"/>
        <v>0.58650000000000002</v>
      </c>
      <c r="L213" s="12">
        <f t="shared" si="77"/>
        <v>0.58674999999999999</v>
      </c>
      <c r="M213" s="215">
        <v>0.58699999999999997</v>
      </c>
      <c r="N213" s="12">
        <f t="shared" si="77"/>
        <v>0.58724999999999994</v>
      </c>
      <c r="O213" s="12">
        <f t="shared" si="73"/>
        <v>0.58750000000000002</v>
      </c>
      <c r="P213" s="127">
        <f t="shared" si="73"/>
        <v>0.58774999999999999</v>
      </c>
      <c r="Q213" s="12">
        <f t="shared" si="73"/>
        <v>0.58799999999999997</v>
      </c>
      <c r="R213" s="132">
        <f t="shared" si="78"/>
        <v>0.58824999999999994</v>
      </c>
      <c r="S213" s="130"/>
      <c r="T213" s="11">
        <f t="shared" si="79"/>
        <v>0.58699999999999997</v>
      </c>
      <c r="U213" s="11">
        <f t="shared" si="74"/>
        <v>0.58824999999999994</v>
      </c>
      <c r="V213" s="90" t="s">
        <v>44</v>
      </c>
      <c r="W213" s="91">
        <f>INDEX(LINEST(T213:U213,(T$36:U$36)^{1}),1)</f>
        <v>2.4999999999999458E-4</v>
      </c>
      <c r="X213" s="91">
        <f>INDEX(LINEST(T213:U213,(T$36:U$36)^{1}),1,2)</f>
        <v>0.58674999999999999</v>
      </c>
    </row>
    <row r="214" spans="1:25" x14ac:dyDescent="0.25">
      <c r="A214" s="83"/>
      <c r="B214" s="4">
        <v>70</v>
      </c>
      <c r="C214" s="5">
        <v>0.72</v>
      </c>
      <c r="D214" s="5">
        <f t="shared" si="75"/>
        <v>0.7</v>
      </c>
      <c r="E214" s="11">
        <f t="shared" si="76"/>
        <v>1.0846650799047943</v>
      </c>
      <c r="F214" s="52">
        <f>M214/M214</f>
        <v>1</v>
      </c>
      <c r="G214" s="53">
        <f t="shared" si="77"/>
        <v>0.58814</v>
      </c>
      <c r="H214" s="53">
        <f t="shared" si="77"/>
        <v>0.58814999999999995</v>
      </c>
      <c r="I214" s="53">
        <f t="shared" si="77"/>
        <v>0.58816000000000002</v>
      </c>
      <c r="J214" s="53">
        <f t="shared" si="77"/>
        <v>0.58816999999999997</v>
      </c>
      <c r="K214" s="53">
        <f t="shared" si="77"/>
        <v>0.58818000000000004</v>
      </c>
      <c r="L214" s="53">
        <f t="shared" si="77"/>
        <v>0.58818999999999999</v>
      </c>
      <c r="M214" s="217">
        <v>0.58819999999999995</v>
      </c>
      <c r="N214" s="53">
        <f>($W214*N$36)+$X214</f>
        <v>0.58821000000000001</v>
      </c>
      <c r="O214" s="53">
        <f t="shared" si="73"/>
        <v>0.58821999999999997</v>
      </c>
      <c r="P214" s="129">
        <f t="shared" si="73"/>
        <v>0.58823000000000003</v>
      </c>
      <c r="Q214" s="53">
        <f t="shared" si="73"/>
        <v>0.58823999999999999</v>
      </c>
      <c r="R214" s="134">
        <f>$R$192</f>
        <v>0.58824999999999994</v>
      </c>
      <c r="T214" s="11">
        <f>M214</f>
        <v>0.58819999999999995</v>
      </c>
      <c r="U214" s="11">
        <f>R214</f>
        <v>0.58824999999999994</v>
      </c>
      <c r="V214" s="90" t="s">
        <v>44</v>
      </c>
      <c r="W214" s="91">
        <f>INDEX(LINEST(T214:U214,(T$36:U$36)^{1}),1)</f>
        <v>9.999999999998898E-6</v>
      </c>
      <c r="X214" s="91">
        <f>INDEX(LINEST(T214:U214,(T$36:U$36)^{1}),1,2)</f>
        <v>0.58818999999999999</v>
      </c>
    </row>
    <row r="215" spans="1:25" x14ac:dyDescent="0.25">
      <c r="A215" s="83"/>
      <c r="M215">
        <f>M214/M203</f>
        <v>1.8098461538461537</v>
      </c>
      <c r="T215" s="1"/>
      <c r="U215" s="1"/>
      <c r="V215" s="90"/>
    </row>
    <row r="216" spans="1:25" ht="15.75" x14ac:dyDescent="0.25">
      <c r="D216" s="20" t="s">
        <v>78</v>
      </c>
      <c r="M216" s="170">
        <f>M214/M209</f>
        <v>1.0503571428571428</v>
      </c>
      <c r="T216" s="189" t="s">
        <v>131</v>
      </c>
      <c r="U216" s="1"/>
      <c r="V216" s="90"/>
    </row>
    <row r="217" spans="1:25" ht="15.75" x14ac:dyDescent="0.25">
      <c r="D217" s="20" t="s">
        <v>99</v>
      </c>
      <c r="S217" s="189"/>
      <c r="T217" s="189" t="s">
        <v>132</v>
      </c>
      <c r="U217" s="1"/>
      <c r="V217" s="90"/>
    </row>
    <row r="218" spans="1:25" ht="16.5" thickBot="1" x14ac:dyDescent="0.3">
      <c r="D218" s="20" t="s">
        <v>100</v>
      </c>
      <c r="S218" s="189"/>
      <c r="T218" s="1"/>
    </row>
    <row r="219" spans="1:25" x14ac:dyDescent="0.25">
      <c r="D219" s="174" t="s">
        <v>126</v>
      </c>
      <c r="T219" s="1"/>
      <c r="V219" s="79" t="s">
        <v>136</v>
      </c>
      <c r="W219" s="81"/>
      <c r="X219" s="81"/>
      <c r="Y219" s="82"/>
    </row>
    <row r="220" spans="1:25" x14ac:dyDescent="0.25">
      <c r="T220" s="1"/>
      <c r="U220" s="7"/>
      <c r="V220" s="83"/>
      <c r="X220" s="1" t="s">
        <v>113</v>
      </c>
      <c r="Y220" s="84"/>
    </row>
    <row r="221" spans="1:25" x14ac:dyDescent="0.25">
      <c r="B221" s="188" t="s">
        <v>130</v>
      </c>
      <c r="H221" s="4" t="s">
        <v>9</v>
      </c>
      <c r="I221" s="190" t="s">
        <v>134</v>
      </c>
      <c r="J221" s="190"/>
      <c r="K221" s="190"/>
      <c r="L221" s="42"/>
      <c r="M221" s="42" t="s">
        <v>163</v>
      </c>
      <c r="N221" s="204" t="s">
        <v>164</v>
      </c>
      <c r="O221" s="42" t="s">
        <v>174</v>
      </c>
      <c r="P221" s="42" t="s">
        <v>175</v>
      </c>
      <c r="T221" s="122" t="s">
        <v>133</v>
      </c>
      <c r="V221" s="195" t="s">
        <v>172</v>
      </c>
      <c r="W221">
        <f>0.6/0.7</f>
        <v>0.85714285714285721</v>
      </c>
      <c r="X221" s="1" t="s">
        <v>103</v>
      </c>
      <c r="Y221" s="191" t="s">
        <v>112</v>
      </c>
    </row>
    <row r="222" spans="1:25" x14ac:dyDescent="0.25">
      <c r="B222" s="174" t="s">
        <v>135</v>
      </c>
      <c r="H222" s="4">
        <v>1</v>
      </c>
      <c r="J222" s="63"/>
      <c r="K222" s="63"/>
      <c r="L222" s="63"/>
      <c r="M222" s="63">
        <f>(M203*$D$114*SQRT(4*$D$116*$B$120/32.2)/12)*$H222/2</f>
        <v>1.0058567176405746</v>
      </c>
      <c r="N222" s="63">
        <f t="shared" ref="N222:O222" si="80">(N203*$D$114*SQRT(4*$D$116*$B$120/32.2)/12)*$H222/2</f>
        <v>1.1688055058983473</v>
      </c>
      <c r="O222" s="63">
        <f t="shared" si="80"/>
        <v>1.3317542941561205</v>
      </c>
      <c r="P222" s="63">
        <f t="shared" ref="P222" si="81">(P203*$D$114*SQRT(4*$D$116*$B$120/32.2)/12)*$H222/2</f>
        <v>1.4947030824138932</v>
      </c>
      <c r="Q222" s="63"/>
      <c r="R222" s="63"/>
      <c r="T222" s="205">
        <f>'curve_rzeta_targetnu_add_2.5'!N222</f>
        <v>1.1327423016478957</v>
      </c>
      <c r="V222" s="83"/>
      <c r="W222" s="153">
        <f>X222*$W$221</f>
        <v>1.0285714285714287</v>
      </c>
      <c r="X222" s="149">
        <v>1.2</v>
      </c>
      <c r="Y222" s="192">
        <f>T222/W222</f>
        <v>1.1012772377132318</v>
      </c>
    </row>
    <row r="223" spans="1:25" x14ac:dyDescent="0.25">
      <c r="B223" s="174" t="s">
        <v>143</v>
      </c>
      <c r="H223" s="4">
        <v>2</v>
      </c>
      <c r="J223" s="58"/>
      <c r="K223" s="58"/>
      <c r="L223" s="58"/>
      <c r="M223" s="58">
        <f t="shared" ref="M223:O223" si="82">(M204*$D$114*SQRT(4*$D$116*$B$120/32.2)/12)*$H223/2</f>
        <v>2.4759549972691066</v>
      </c>
      <c r="N223" s="58">
        <f t="shared" si="82"/>
        <v>2.7090042613870611</v>
      </c>
      <c r="O223" s="58">
        <f t="shared" si="82"/>
        <v>2.9420535255050155</v>
      </c>
      <c r="P223" s="58">
        <f t="shared" ref="P223" si="83">(P204*$D$114*SQRT(4*$D$116*$B$120/32.2)/12)*$H223/2</f>
        <v>3.1751027896229704</v>
      </c>
      <c r="Q223" s="58"/>
      <c r="R223" s="58"/>
      <c r="T223" s="11">
        <f>'curve_rzeta_targetnu_add_2.5'!N223</f>
        <v>0.80386552709665182</v>
      </c>
      <c r="U223" s="115"/>
      <c r="V223" s="83"/>
      <c r="W223" s="154">
        <f t="shared" ref="W223:W233" si="84">X223*$W$221</f>
        <v>0.72857142857142865</v>
      </c>
      <c r="X223" s="150">
        <v>0.85</v>
      </c>
      <c r="Y223" s="192">
        <f t="shared" ref="Y223:Y227" si="85">T223/W223</f>
        <v>1.1033448411130513</v>
      </c>
    </row>
    <row r="224" spans="1:25" x14ac:dyDescent="0.25">
      <c r="H224" s="4">
        <v>3</v>
      </c>
      <c r="J224" s="67"/>
      <c r="K224" s="67"/>
      <c r="L224" s="67"/>
      <c r="M224" s="67">
        <f t="shared" ref="M224:O224" si="86">(M205*$D$114*SQRT(4*$D$116*$B$120/32.2)/12)*$H224/2</f>
        <v>4.0667560830145071</v>
      </c>
      <c r="N224" s="67">
        <f t="shared" si="86"/>
        <v>4.3457652617692695</v>
      </c>
      <c r="O224" s="67">
        <f t="shared" si="86"/>
        <v>4.6247744405240327</v>
      </c>
      <c r="P224" s="67">
        <f t="shared" ref="P224" si="87">(P205*$D$114*SQRT(4*$D$116*$B$120/32.2)/12)*$H224/2</f>
        <v>4.9037836192787934</v>
      </c>
      <c r="Q224" s="67"/>
      <c r="R224" s="67"/>
      <c r="T224" s="205">
        <f>'curve_rzeta_targetnu_add_2.5'!N224</f>
        <v>0.70723962775449734</v>
      </c>
      <c r="U224" s="115"/>
      <c r="V224" s="83"/>
      <c r="W224" s="157">
        <f t="shared" si="84"/>
        <v>0.6428571428571429</v>
      </c>
      <c r="X224" s="158">
        <v>0.75</v>
      </c>
      <c r="Y224" s="192">
        <f t="shared" si="85"/>
        <v>1.1001505320625513</v>
      </c>
    </row>
    <row r="225" spans="1:25" x14ac:dyDescent="0.25">
      <c r="H225" s="4">
        <v>4</v>
      </c>
      <c r="J225" s="58"/>
      <c r="K225" s="58"/>
      <c r="L225" s="58"/>
      <c r="M225" s="58">
        <f t="shared" ref="M225:O225" si="88">(M206*$D$114*SQRT(4*$D$116*$B$120/32.2)/12)*$H225/2</f>
        <v>5.657557168759908</v>
      </c>
      <c r="N225" s="58">
        <f t="shared" si="88"/>
        <v>5.9825262621514801</v>
      </c>
      <c r="O225" s="58">
        <f t="shared" si="88"/>
        <v>6.3074953555430495</v>
      </c>
      <c r="P225" s="58">
        <f t="shared" ref="P225" si="89">(P206*$D$114*SQRT(4*$D$116*$B$120/32.2)/12)*$H225/2</f>
        <v>6.632464448934619</v>
      </c>
      <c r="Q225" s="58"/>
      <c r="R225" s="58"/>
      <c r="T225" s="11">
        <f>'curve_rzeta_targetnu_add_2.5'!N225</f>
        <v>0.65892667808342031</v>
      </c>
      <c r="U225" s="115"/>
      <c r="V225" s="83"/>
      <c r="W225" s="154">
        <f t="shared" si="84"/>
        <v>0.61714285714285722</v>
      </c>
      <c r="X225" s="150">
        <v>0.72</v>
      </c>
      <c r="Y225" s="192">
        <f t="shared" si="85"/>
        <v>1.0677052654129495</v>
      </c>
    </row>
    <row r="226" spans="1:25" x14ac:dyDescent="0.25">
      <c r="H226" s="4">
        <v>5</v>
      </c>
      <c r="J226" s="58"/>
      <c r="K226" s="58"/>
      <c r="L226" s="58"/>
      <c r="M226" s="58">
        <f t="shared" ref="M226:O226" si="90">(M207*$D$114*SQRT(4*$D$116*$B$120/32.2)/12)*$H226/2</f>
        <v>7.4278649918073194</v>
      </c>
      <c r="N226" s="58">
        <f t="shared" si="90"/>
        <v>7.7628926523752959</v>
      </c>
      <c r="O226" s="58">
        <f t="shared" si="90"/>
        <v>8.0979203129432715</v>
      </c>
      <c r="P226" s="58">
        <f t="shared" ref="P226" si="91">(P207*$D$114*SQRT(4*$D$116*$B$120/32.2)/12)*$H226/2</f>
        <v>8.4329479735112471</v>
      </c>
      <c r="Q226" s="58"/>
      <c r="R226" s="58"/>
      <c r="T226" s="11">
        <f>'curve_rzeta_targetnu_add_2.5'!N226</f>
        <v>0.64153863360609331</v>
      </c>
      <c r="U226" s="115"/>
      <c r="V226" s="83"/>
      <c r="W226" s="154">
        <f t="shared" si="84"/>
        <v>0.60857142857142854</v>
      </c>
      <c r="X226" s="150">
        <v>0.71</v>
      </c>
      <c r="Y226" s="192">
        <f t="shared" si="85"/>
        <v>1.0541714636719843</v>
      </c>
    </row>
    <row r="227" spans="1:25" x14ac:dyDescent="0.25">
      <c r="H227" s="4">
        <v>10</v>
      </c>
      <c r="J227" s="67"/>
      <c r="K227" s="67"/>
      <c r="L227" s="67"/>
      <c r="M227" s="67">
        <f t="shared" ref="M227:O227" si="92">(M208*$D$114*SQRT(4*$D$116*$B$120/32.2)/12)*$H227/2</f>
        <v>16.372252419441967</v>
      </c>
      <c r="N227" s="67">
        <f t="shared" si="92"/>
        <v>16.739003253412452</v>
      </c>
      <c r="O227" s="67">
        <f t="shared" si="92"/>
        <v>17.105754087382941</v>
      </c>
      <c r="P227" s="67">
        <f t="shared" ref="P227" si="93">(P208*$D$114*SQRT(4*$D$116*$B$120/32.2)/12)*$H227/2</f>
        <v>17.472504921353426</v>
      </c>
      <c r="Q227" s="67"/>
      <c r="R227" s="67"/>
      <c r="T227" s="205">
        <f>'curve_rzeta_targetnu_add_2.5'!N227</f>
        <v>0.60976247361488434</v>
      </c>
      <c r="U227" s="115"/>
      <c r="V227" s="83"/>
      <c r="W227" s="157">
        <f t="shared" si="84"/>
        <v>0.6</v>
      </c>
      <c r="X227" s="158">
        <v>0.7</v>
      </c>
      <c r="Y227" s="192">
        <f t="shared" si="85"/>
        <v>1.0162707893581406</v>
      </c>
    </row>
    <row r="228" spans="1:25" x14ac:dyDescent="0.25">
      <c r="H228" s="4">
        <v>20</v>
      </c>
      <c r="J228" s="58"/>
      <c r="K228" s="58"/>
      <c r="L228" s="58"/>
      <c r="M228" s="58">
        <f t="shared" ref="M228:O228" si="94">(M209*$D$114*SQRT(4*$D$116*$B$120/32.2)/12)*$H228/2</f>
        <v>34.663369961767501</v>
      </c>
      <c r="N228" s="58">
        <f t="shared" si="94"/>
        <v>35.013098605131759</v>
      </c>
      <c r="O228" s="58">
        <f t="shared" si="94"/>
        <v>35.362827248496011</v>
      </c>
      <c r="P228" s="58">
        <f t="shared" ref="P228" si="95">(P209*$D$114*SQRT(4*$D$116*$B$120/32.2)/12)*$H228/2</f>
        <v>35.712555891860283</v>
      </c>
      <c r="Q228" s="58"/>
      <c r="R228" s="58"/>
      <c r="T228" s="11">
        <f>'curve_rzeta_targetnu_add_2.5'!N228</f>
        <v>0.60037423970674353</v>
      </c>
      <c r="U228" s="115"/>
      <c r="V228" s="83"/>
      <c r="W228" s="154">
        <f t="shared" si="84"/>
        <v>0.6</v>
      </c>
      <c r="X228" s="150">
        <v>0.7</v>
      </c>
      <c r="Y228" s="84"/>
    </row>
    <row r="229" spans="1:25" x14ac:dyDescent="0.25">
      <c r="H229" s="4">
        <v>30</v>
      </c>
      <c r="J229" s="58"/>
      <c r="K229" s="58"/>
      <c r="L229" s="58"/>
      <c r="M229" s="58">
        <f t="shared" ref="M229:O229" si="96">(M210*$D$114*SQRT(4*$D$116*$B$120/32.2)/12)*$H229/2</f>
        <v>53.202083003819922</v>
      </c>
      <c r="N229" s="58">
        <f t="shared" si="96"/>
        <v>53.485270356632576</v>
      </c>
      <c r="O229" s="58">
        <f t="shared" si="96"/>
        <v>53.768457709445222</v>
      </c>
      <c r="P229" s="58">
        <f t="shared" ref="P229" si="97">(P210*$D$114*SQRT(4*$D$116*$B$120/32.2)/12)*$H229/2</f>
        <v>54.051645062257876</v>
      </c>
      <c r="Q229" s="58"/>
      <c r="R229" s="58"/>
      <c r="T229" s="11">
        <f>'curve_rzeta_targetnu_add_2.5'!N229</f>
        <v>0.59991143192709162</v>
      </c>
      <c r="U229" s="115"/>
      <c r="V229" s="83"/>
      <c r="W229" s="154">
        <f t="shared" si="84"/>
        <v>0.6</v>
      </c>
      <c r="X229" s="150">
        <v>0.7</v>
      </c>
      <c r="Y229" s="84"/>
    </row>
    <row r="230" spans="1:25" x14ac:dyDescent="0.25">
      <c r="H230" s="4">
        <v>40</v>
      </c>
      <c r="J230" s="58"/>
      <c r="K230" s="58"/>
      <c r="L230" s="58"/>
      <c r="M230" s="58">
        <f t="shared" ref="M230:O230" si="98">(M211*$D$114*SQRT(4*$D$116*$B$120/32.2)/12)*$H230/2</f>
        <v>71.8026949208041</v>
      </c>
      <c r="N230" s="58">
        <f t="shared" si="98"/>
        <v>72.006961208078792</v>
      </c>
      <c r="O230" s="58">
        <f t="shared" si="98"/>
        <v>72.211227495353498</v>
      </c>
      <c r="P230" s="58">
        <f t="shared" ref="P230" si="99">(P211*$D$114*SQRT(4*$D$116*$B$120/32.2)/12)*$H230/2</f>
        <v>72.415493782628189</v>
      </c>
      <c r="Q230" s="58"/>
      <c r="R230" s="58"/>
      <c r="T230" s="11">
        <f>'curve_rzeta_targetnu_add_2.5'!N230</f>
        <v>0.60018001619784</v>
      </c>
      <c r="U230" s="115"/>
      <c r="V230" s="83"/>
      <c r="W230" s="154">
        <f t="shared" si="84"/>
        <v>0.6</v>
      </c>
      <c r="X230" s="150">
        <v>0.7</v>
      </c>
      <c r="Y230" s="84"/>
    </row>
    <row r="231" spans="1:25" x14ac:dyDescent="0.25">
      <c r="H231" s="4">
        <v>50</v>
      </c>
      <c r="J231" s="58"/>
      <c r="K231" s="58"/>
      <c r="L231" s="58"/>
      <c r="M231" s="58">
        <f t="shared" ref="M231:O231" si="100">(M212*$D$114*SQRT(4*$D$116*$B$120/32.2)/12)*$H231/2</f>
        <v>90.372357400322372</v>
      </c>
      <c r="N231" s="58">
        <f t="shared" si="100"/>
        <v>90.503892509552315</v>
      </c>
      <c r="O231" s="58">
        <f t="shared" si="100"/>
        <v>90.635427618782231</v>
      </c>
      <c r="P231" s="58">
        <f t="shared" ref="P231" si="101">(P212*$D$114*SQRT(4*$D$116*$B$120/32.2)/12)*$H231/2</f>
        <v>90.766962728012146</v>
      </c>
      <c r="Q231" s="58"/>
      <c r="R231" s="58"/>
      <c r="T231" s="11">
        <f>'curve_rzeta_targetnu_add_2.5'!N231</f>
        <v>0.60014117149605906</v>
      </c>
      <c r="V231" s="83"/>
      <c r="W231" s="154">
        <f t="shared" si="84"/>
        <v>0.6</v>
      </c>
      <c r="X231" s="150">
        <v>0.7</v>
      </c>
      <c r="Y231" s="84"/>
    </row>
    <row r="232" spans="1:25" x14ac:dyDescent="0.25">
      <c r="H232" s="4">
        <v>60</v>
      </c>
      <c r="J232" s="58"/>
      <c r="K232" s="58"/>
      <c r="L232" s="58"/>
      <c r="M232" s="58">
        <f t="shared" ref="M232:O232" si="102">(M213*$D$114*SQRT(4*$D$116*$B$120/32.2)/12)*$H232/2</f>
        <v>109.00391875477241</v>
      </c>
      <c r="N232" s="58">
        <f t="shared" si="102"/>
        <v>109.05034291097118</v>
      </c>
      <c r="O232" s="58">
        <f t="shared" si="102"/>
        <v>109.09676706717001</v>
      </c>
      <c r="P232" s="58">
        <f t="shared" ref="P232" si="103">(P213*$D$114*SQRT(4*$D$116*$B$120/32.2)/12)*$H232/2</f>
        <v>109.1431912233688</v>
      </c>
      <c r="Q232" s="58"/>
      <c r="R232" s="58"/>
      <c r="T232" s="11">
        <f>'curve_rzeta_targetnu_add_2.5'!N232</f>
        <v>0.60044860046858817</v>
      </c>
      <c r="V232" s="83"/>
      <c r="W232" s="154">
        <f t="shared" si="84"/>
        <v>0.6</v>
      </c>
      <c r="X232" s="150">
        <v>0.7</v>
      </c>
      <c r="Y232" s="84"/>
    </row>
    <row r="233" spans="1:25" ht="15.75" thickBot="1" x14ac:dyDescent="0.3">
      <c r="H233" s="4">
        <v>70</v>
      </c>
      <c r="J233" s="67"/>
      <c r="K233" s="67"/>
      <c r="L233" s="67"/>
      <c r="M233" s="67">
        <f t="shared" ref="M233:O233" si="104">(M214*$D$114*SQRT(4*$D$116*$B$120/32.2)/12)*$H233/2</f>
        <v>127.43121382194772</v>
      </c>
      <c r="N233" s="67">
        <f t="shared" si="104"/>
        <v>127.43338028257035</v>
      </c>
      <c r="O233" s="67">
        <f t="shared" si="104"/>
        <v>127.43554674319296</v>
      </c>
      <c r="P233" s="67">
        <f t="shared" ref="P233" si="105">(P214*$D$114*SQRT(4*$D$116*$B$120/32.2)/12)*$H233/2</f>
        <v>127.43771320381559</v>
      </c>
      <c r="Q233" s="67"/>
      <c r="R233" s="67"/>
      <c r="T233" s="11">
        <f>'curve_rzeta_targetnu_add_2.5'!N233</f>
        <v>0.59972535777474034</v>
      </c>
      <c r="V233" s="93"/>
      <c r="W233" s="193">
        <f t="shared" si="84"/>
        <v>0.6</v>
      </c>
      <c r="X233" s="194">
        <v>0.7</v>
      </c>
      <c r="Y233" s="97"/>
    </row>
    <row r="234" spans="1:25" x14ac:dyDescent="0.25">
      <c r="M234" s="114"/>
      <c r="S234" t="s">
        <v>137</v>
      </c>
    </row>
    <row r="237" spans="1:25" ht="15.75" thickBot="1" x14ac:dyDescent="0.3">
      <c r="A237" s="141"/>
      <c r="B237" s="141"/>
      <c r="C237" s="141"/>
      <c r="D237" s="141"/>
      <c r="E237" s="141"/>
      <c r="F237" s="141"/>
      <c r="G237" s="141"/>
      <c r="H237" s="141"/>
      <c r="I237" s="141"/>
      <c r="J237" s="141"/>
      <c r="K237" s="141"/>
      <c r="L237" s="141"/>
      <c r="M237" s="142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</row>
    <row r="238" spans="1:25" ht="15.75" thickTop="1" x14ac:dyDescent="0.25">
      <c r="M238" s="114"/>
    </row>
    <row r="239" spans="1:25" x14ac:dyDescent="0.25">
      <c r="M239" s="114"/>
    </row>
    <row r="240" spans="1:25" x14ac:dyDescent="0.25">
      <c r="A240" t="s">
        <v>159</v>
      </c>
      <c r="B240" s="187" t="s">
        <v>160</v>
      </c>
      <c r="M240" s="114"/>
    </row>
    <row r="241" spans="1:21" x14ac:dyDescent="0.25">
      <c r="B241" t="s">
        <v>74</v>
      </c>
    </row>
    <row r="242" spans="1:21" x14ac:dyDescent="0.25">
      <c r="B242" s="20" t="s">
        <v>108</v>
      </c>
    </row>
    <row r="243" spans="1:21" x14ac:dyDescent="0.25">
      <c r="A243" s="83"/>
      <c r="B243" s="20"/>
    </row>
    <row r="244" spans="1:21" x14ac:dyDescent="0.25">
      <c r="A244" s="83"/>
      <c r="B244" s="135">
        <v>0.17100000000000001</v>
      </c>
      <c r="D244">
        <v>0.1363</v>
      </c>
    </row>
    <row r="245" spans="1:21" x14ac:dyDescent="0.25">
      <c r="A245" s="83"/>
      <c r="B245" s="85">
        <v>1</v>
      </c>
    </row>
    <row r="246" spans="1:21" x14ac:dyDescent="0.25">
      <c r="A246" s="83">
        <v>1</v>
      </c>
      <c r="B246" s="86">
        <f>B245+B$244</f>
        <v>1.171</v>
      </c>
      <c r="H246" s="7"/>
      <c r="L246" s="21"/>
      <c r="M246" s="31" t="s">
        <v>38</v>
      </c>
      <c r="N246" s="32">
        <f>B246</f>
        <v>1.171</v>
      </c>
      <c r="O246" s="32">
        <f>B247</f>
        <v>1.3420000000000001</v>
      </c>
      <c r="P246" s="32">
        <f>B248</f>
        <v>1.5130000000000001</v>
      </c>
      <c r="Q246" s="32">
        <f>B249</f>
        <v>1.6840000000000002</v>
      </c>
      <c r="R246" s="32">
        <f>B250</f>
        <v>1.8550000000000002</v>
      </c>
      <c r="S246" s="33"/>
    </row>
    <row r="247" spans="1:21" x14ac:dyDescent="0.25">
      <c r="A247" s="83">
        <v>2</v>
      </c>
      <c r="B247" s="86">
        <f t="shared" ref="B247:B251" si="106">B246+B$244</f>
        <v>1.3420000000000001</v>
      </c>
      <c r="L247" s="34"/>
      <c r="M247" s="35">
        <v>1</v>
      </c>
      <c r="N247" s="35">
        <v>2</v>
      </c>
      <c r="O247" s="35">
        <v>3</v>
      </c>
      <c r="P247" s="35">
        <v>4</v>
      </c>
      <c r="Q247" s="35">
        <v>5</v>
      </c>
      <c r="R247" s="35">
        <v>6</v>
      </c>
      <c r="S247" s="36"/>
    </row>
    <row r="248" spans="1:21" x14ac:dyDescent="0.25">
      <c r="A248" s="83">
        <v>3</v>
      </c>
      <c r="B248" s="86">
        <f t="shared" si="106"/>
        <v>1.5130000000000001</v>
      </c>
      <c r="K248" s="2" t="s">
        <v>76</v>
      </c>
      <c r="L248" s="24"/>
      <c r="M248" s="124">
        <v>0.28999999999999998</v>
      </c>
      <c r="N248" s="11">
        <f>$M248*N246</f>
        <v>0.33959</v>
      </c>
      <c r="O248" s="11">
        <f>$M248*O246</f>
        <v>0.38917999999999997</v>
      </c>
      <c r="P248" s="11">
        <f>$M248*P246</f>
        <v>0.43876999999999999</v>
      </c>
      <c r="Q248" s="11">
        <f>$M248*Q246</f>
        <v>0.48836000000000002</v>
      </c>
      <c r="R248" s="130">
        <f>$M248*R246</f>
        <v>0.53795000000000004</v>
      </c>
      <c r="S248" s="36" t="s">
        <v>39</v>
      </c>
      <c r="T248" s="140">
        <f>R248/M270</f>
        <v>0.99990706319702605</v>
      </c>
      <c r="U248" s="171">
        <f>B244/T248</f>
        <v>0.17101589367041548</v>
      </c>
    </row>
    <row r="249" spans="1:21" x14ac:dyDescent="0.25">
      <c r="A249" s="83">
        <v>4</v>
      </c>
      <c r="B249" s="86">
        <f t="shared" si="106"/>
        <v>1.6840000000000002</v>
      </c>
      <c r="L249" s="26"/>
      <c r="M249" s="38">
        <f t="shared" ref="M249:R249" si="107">M248</f>
        <v>0.28999999999999998</v>
      </c>
      <c r="N249" s="38">
        <f t="shared" si="107"/>
        <v>0.33959</v>
      </c>
      <c r="O249" s="38">
        <f t="shared" si="107"/>
        <v>0.38917999999999997</v>
      </c>
      <c r="P249" s="38">
        <f t="shared" si="107"/>
        <v>0.43876999999999999</v>
      </c>
      <c r="Q249" s="38">
        <f t="shared" si="107"/>
        <v>0.48836000000000002</v>
      </c>
      <c r="R249" s="38">
        <f t="shared" si="107"/>
        <v>0.53795000000000004</v>
      </c>
      <c r="S249" s="39" t="s">
        <v>42</v>
      </c>
    </row>
    <row r="250" spans="1:21" x14ac:dyDescent="0.25">
      <c r="A250" s="83">
        <v>5</v>
      </c>
      <c r="B250" s="86">
        <f t="shared" si="106"/>
        <v>1.8550000000000002</v>
      </c>
    </row>
    <row r="251" spans="1:21" x14ac:dyDescent="0.25">
      <c r="A251" s="83">
        <v>6</v>
      </c>
      <c r="B251" s="86">
        <f t="shared" si="106"/>
        <v>2.0260000000000002</v>
      </c>
      <c r="D251" t="s">
        <v>72</v>
      </c>
      <c r="K251" s="18"/>
      <c r="L251" s="20" t="s">
        <v>154</v>
      </c>
    </row>
    <row r="252" spans="1:21" x14ac:dyDescent="0.25">
      <c r="A252" s="83"/>
      <c r="B252" s="86"/>
      <c r="F252" s="40" t="s">
        <v>101</v>
      </c>
      <c r="G252" s="22"/>
      <c r="H252" s="22"/>
      <c r="I252" s="22"/>
      <c r="J252" s="22"/>
      <c r="K252" s="22"/>
      <c r="L252" s="210" t="s">
        <v>119</v>
      </c>
      <c r="M252" s="167"/>
      <c r="N252" s="21"/>
      <c r="O252" s="167" t="s">
        <v>161</v>
      </c>
      <c r="P252" s="22"/>
      <c r="Q252" s="208" t="s">
        <v>45</v>
      </c>
      <c r="R252" s="23"/>
    </row>
    <row r="253" spans="1:21" x14ac:dyDescent="0.25">
      <c r="A253" s="83"/>
      <c r="B253" s="86"/>
      <c r="F253" s="183"/>
      <c r="L253" s="187" t="s">
        <v>123</v>
      </c>
      <c r="M253" s="184"/>
      <c r="N253" s="24"/>
      <c r="O253" s="184"/>
      <c r="Q253" s="209"/>
      <c r="R253" s="25"/>
    </row>
    <row r="254" spans="1:21" x14ac:dyDescent="0.25">
      <c r="A254" s="83"/>
      <c r="B254" s="20"/>
      <c r="F254" s="24"/>
      <c r="L254" s="207" t="s">
        <v>124</v>
      </c>
      <c r="N254" s="24"/>
      <c r="Q254" s="25"/>
      <c r="R254" s="25"/>
    </row>
    <row r="255" spans="1:21" x14ac:dyDescent="0.25">
      <c r="A255" s="83"/>
      <c r="F255" s="41"/>
      <c r="G255" s="42"/>
      <c r="H255" s="42"/>
      <c r="I255" s="42"/>
      <c r="J255" s="42"/>
      <c r="K255" s="42"/>
      <c r="L255" s="42"/>
      <c r="M255" s="42"/>
      <c r="N255" s="172" t="s">
        <v>166</v>
      </c>
      <c r="O255" s="42" t="s">
        <v>167</v>
      </c>
      <c r="P255" s="42" t="s">
        <v>176</v>
      </c>
      <c r="Q255" s="173" t="s">
        <v>177</v>
      </c>
      <c r="R255" s="43"/>
    </row>
    <row r="256" spans="1:21" x14ac:dyDescent="0.25">
      <c r="A256" s="83"/>
      <c r="C256" s="73" t="s">
        <v>34</v>
      </c>
      <c r="F256" s="44"/>
      <c r="G256" s="4">
        <v>-5</v>
      </c>
      <c r="H256" s="4">
        <v>-4</v>
      </c>
      <c r="I256" s="4">
        <v>-3</v>
      </c>
      <c r="J256" s="4">
        <v>-2</v>
      </c>
      <c r="K256" s="4">
        <v>-1</v>
      </c>
      <c r="L256" s="4">
        <v>0</v>
      </c>
      <c r="M256" s="4">
        <v>1</v>
      </c>
      <c r="N256" s="44">
        <v>2</v>
      </c>
      <c r="O256" s="4">
        <v>3</v>
      </c>
      <c r="P256" s="4">
        <v>4</v>
      </c>
      <c r="Q256" s="45">
        <v>5</v>
      </c>
      <c r="R256" s="45">
        <v>6</v>
      </c>
      <c r="T256" s="4">
        <v>1</v>
      </c>
      <c r="U256" s="4">
        <v>6</v>
      </c>
    </row>
    <row r="257" spans="1:24" x14ac:dyDescent="0.25">
      <c r="A257" s="83"/>
      <c r="B257" s="4"/>
      <c r="C257" s="4" t="s">
        <v>10</v>
      </c>
      <c r="D257" s="87" t="s">
        <v>37</v>
      </c>
      <c r="E257" s="73"/>
      <c r="F257" s="24"/>
      <c r="N257" s="218" t="s">
        <v>43</v>
      </c>
      <c r="Q257" s="25"/>
      <c r="R257" s="25"/>
      <c r="T257" t="s">
        <v>129</v>
      </c>
    </row>
    <row r="258" spans="1:24" x14ac:dyDescent="0.25">
      <c r="A258" s="83"/>
      <c r="B258" s="4" t="s">
        <v>9</v>
      </c>
      <c r="C258" s="88" t="s">
        <v>36</v>
      </c>
      <c r="D258" s="89">
        <v>-0.02</v>
      </c>
      <c r="E258" s="74"/>
      <c r="F258" s="24"/>
      <c r="G258" s="47"/>
      <c r="H258" s="47"/>
      <c r="I258" s="47"/>
      <c r="J258" s="47"/>
      <c r="K258" s="47"/>
      <c r="L258" s="47"/>
      <c r="M258" s="144">
        <f>M248</f>
        <v>0.28999999999999998</v>
      </c>
      <c r="N258" s="213">
        <f>N248</f>
        <v>0.33959</v>
      </c>
      <c r="O258" s="144">
        <f t="shared" ref="O258:R258" si="108">O248</f>
        <v>0.38917999999999997</v>
      </c>
      <c r="P258" s="144">
        <f t="shared" si="108"/>
        <v>0.43876999999999999</v>
      </c>
      <c r="Q258" s="145">
        <f t="shared" si="108"/>
        <v>0.48836000000000002</v>
      </c>
      <c r="R258" s="145">
        <f t="shared" si="108"/>
        <v>0.53795000000000004</v>
      </c>
    </row>
    <row r="259" spans="1:24" x14ac:dyDescent="0.25">
      <c r="A259" s="83"/>
      <c r="B259" s="4">
        <v>1</v>
      </c>
      <c r="C259" s="6">
        <v>0.78</v>
      </c>
      <c r="D259" s="6">
        <f>C259+$D$93</f>
        <v>0.76</v>
      </c>
      <c r="E259" s="11">
        <f>M203/M259</f>
        <v>1.1206896551724139</v>
      </c>
      <c r="F259" s="49">
        <f t="shared" ref="F259:F269" si="109">M259/M260</f>
        <v>0.80555555555555558</v>
      </c>
      <c r="G259" s="13">
        <f>($W259*G$36)+$X259</f>
        <v>-7.5399999999999356E-3</v>
      </c>
      <c r="H259" s="13">
        <f t="shared" ref="H259:K259" si="110">($W259*H$36)+$X259</f>
        <v>4.205000000000006E-2</v>
      </c>
      <c r="I259" s="13">
        <f t="shared" si="110"/>
        <v>9.1640000000000055E-2</v>
      </c>
      <c r="J259" s="13">
        <f t="shared" si="110"/>
        <v>0.14123000000000002</v>
      </c>
      <c r="K259" s="13">
        <f t="shared" si="110"/>
        <v>0.19082000000000002</v>
      </c>
      <c r="L259" s="13">
        <f>($W259*L$36)+$X259</f>
        <v>0.24041000000000001</v>
      </c>
      <c r="M259" s="136">
        <v>0.28999999999999998</v>
      </c>
      <c r="N259" s="163">
        <f>($W259*N$36)+$X259</f>
        <v>0.33959</v>
      </c>
      <c r="O259" s="13">
        <f t="shared" ref="O259:Q270" si="111">($W259*O$36)+$X259</f>
        <v>0.38917999999999997</v>
      </c>
      <c r="P259" s="13">
        <f t="shared" si="111"/>
        <v>0.43876999999999999</v>
      </c>
      <c r="Q259" s="76">
        <f t="shared" si="111"/>
        <v>0.48835999999999996</v>
      </c>
      <c r="R259" s="131">
        <f>$R$248</f>
        <v>0.53795000000000004</v>
      </c>
      <c r="S259" s="130"/>
      <c r="T259" s="11">
        <f>M259</f>
        <v>0.28999999999999998</v>
      </c>
      <c r="U259" s="11">
        <f t="shared" ref="U259:U269" si="112">R259</f>
        <v>0.53795000000000004</v>
      </c>
      <c r="V259" s="90" t="s">
        <v>44</v>
      </c>
      <c r="W259" s="91">
        <f>INDEX(LINEST(T259:U259,(T$36:U$36)^{1}),1)</f>
        <v>4.9589999999999988E-2</v>
      </c>
      <c r="X259" s="91">
        <f>INDEX(LINEST(T259:U259,(T$36:U$36)^{1}),1,2)</f>
        <v>0.24041000000000001</v>
      </c>
    </row>
    <row r="260" spans="1:24" x14ac:dyDescent="0.25">
      <c r="A260" s="83"/>
      <c r="B260" s="4">
        <v>2</v>
      </c>
      <c r="C260" s="1">
        <v>0.56999999999999995</v>
      </c>
      <c r="D260" s="1">
        <f t="shared" ref="D260:D270" si="113">C260+$D$93</f>
        <v>0.54999999999999993</v>
      </c>
      <c r="E260" s="11">
        <f t="shared" ref="E260:E270" si="114">M204/M260</f>
        <v>1.1111111111111112</v>
      </c>
      <c r="F260" s="49">
        <f t="shared" si="109"/>
        <v>0.89999999999999991</v>
      </c>
      <c r="G260" s="12">
        <f t="shared" ref="G260:N270" si="115">($W260*G$36)+$X260</f>
        <v>0.14645999999999992</v>
      </c>
      <c r="H260" s="12">
        <f t="shared" si="115"/>
        <v>0.18204999999999993</v>
      </c>
      <c r="I260" s="12">
        <f t="shared" si="115"/>
        <v>0.21763999999999994</v>
      </c>
      <c r="J260" s="12">
        <f t="shared" si="115"/>
        <v>0.25322999999999996</v>
      </c>
      <c r="K260" s="12">
        <f t="shared" si="115"/>
        <v>0.28881999999999997</v>
      </c>
      <c r="L260" s="12">
        <f t="shared" si="115"/>
        <v>0.32440999999999998</v>
      </c>
      <c r="M260" s="137">
        <v>0.36</v>
      </c>
      <c r="N260" s="164">
        <f t="shared" si="115"/>
        <v>0.39559</v>
      </c>
      <c r="O260" s="12">
        <f t="shared" si="111"/>
        <v>0.43118000000000001</v>
      </c>
      <c r="P260" s="12">
        <f t="shared" si="111"/>
        <v>0.46677000000000002</v>
      </c>
      <c r="Q260" s="127">
        <f t="shared" si="111"/>
        <v>0.50236000000000003</v>
      </c>
      <c r="R260" s="132">
        <f t="shared" ref="R260:R270" si="116">$R$248</f>
        <v>0.53795000000000004</v>
      </c>
      <c r="S260" s="130"/>
      <c r="T260" s="11">
        <f t="shared" ref="T260:T269" si="117">M260</f>
        <v>0.36</v>
      </c>
      <c r="U260" s="11">
        <f t="shared" si="112"/>
        <v>0.53795000000000004</v>
      </c>
      <c r="V260" s="90" t="s">
        <v>44</v>
      </c>
      <c r="W260" s="91">
        <f>INDEX(LINEST(T260:U260,(T$36:U$36)^{1}),1)</f>
        <v>3.5590000000000011E-2</v>
      </c>
      <c r="X260" s="91">
        <f>INDEX(LINEST(T260:U260,(T$36:U$36)^{1}),1,2)</f>
        <v>0.32440999999999998</v>
      </c>
    </row>
    <row r="261" spans="1:24" x14ac:dyDescent="0.25">
      <c r="A261" s="83"/>
      <c r="B261" s="4">
        <v>3</v>
      </c>
      <c r="C261" s="5">
        <v>0.54</v>
      </c>
      <c r="D261" s="5">
        <f t="shared" si="113"/>
        <v>0.52</v>
      </c>
      <c r="E261" s="11">
        <f t="shared" si="114"/>
        <v>1.095</v>
      </c>
      <c r="F261" s="49">
        <f t="shared" si="109"/>
        <v>0.91954022988505757</v>
      </c>
      <c r="G261" s="14">
        <f t="shared" si="115"/>
        <v>0.23446000000000003</v>
      </c>
      <c r="H261" s="14">
        <f t="shared" si="115"/>
        <v>0.26205000000000001</v>
      </c>
      <c r="I261" s="14">
        <f t="shared" si="115"/>
        <v>0.28964000000000001</v>
      </c>
      <c r="J261" s="14">
        <f t="shared" si="115"/>
        <v>0.31723000000000001</v>
      </c>
      <c r="K261" s="14">
        <f t="shared" si="115"/>
        <v>0.34482000000000002</v>
      </c>
      <c r="L261" s="14">
        <f t="shared" si="115"/>
        <v>0.37241000000000002</v>
      </c>
      <c r="M261" s="138">
        <v>0.4</v>
      </c>
      <c r="N261" s="165">
        <f t="shared" si="115"/>
        <v>0.42759000000000003</v>
      </c>
      <c r="O261" s="14">
        <f t="shared" si="111"/>
        <v>0.45518000000000003</v>
      </c>
      <c r="P261" s="14">
        <f t="shared" si="111"/>
        <v>0.48277000000000003</v>
      </c>
      <c r="Q261" s="128">
        <f t="shared" si="111"/>
        <v>0.51036000000000004</v>
      </c>
      <c r="R261" s="133">
        <f t="shared" si="116"/>
        <v>0.53795000000000004</v>
      </c>
      <c r="S261" s="130"/>
      <c r="T261" s="11">
        <f t="shared" si="117"/>
        <v>0.4</v>
      </c>
      <c r="U261" s="11">
        <f t="shared" si="112"/>
        <v>0.53795000000000004</v>
      </c>
      <c r="V261" s="90" t="s">
        <v>44</v>
      </c>
      <c r="W261" s="91">
        <f>INDEX(LINEST(T261:U261,(T$36:U$36)^{1}),1)</f>
        <v>2.759E-2</v>
      </c>
      <c r="X261" s="91">
        <f>INDEX(LINEST(T261:U261,(T$36:U$36)^{1}),1,2)</f>
        <v>0.37241000000000002</v>
      </c>
    </row>
    <row r="262" spans="1:24" x14ac:dyDescent="0.25">
      <c r="A262" s="83"/>
      <c r="B262" s="4">
        <v>4</v>
      </c>
      <c r="C262" s="1">
        <v>0.53</v>
      </c>
      <c r="D262" s="1">
        <f t="shared" si="113"/>
        <v>0.51</v>
      </c>
      <c r="E262" s="11">
        <f t="shared" si="114"/>
        <v>1.0505747126436782</v>
      </c>
      <c r="F262" s="49">
        <f t="shared" si="109"/>
        <v>0.95604395604395598</v>
      </c>
      <c r="G262" s="12">
        <f t="shared" si="115"/>
        <v>0.3114599999999999</v>
      </c>
      <c r="H262" s="12">
        <f t="shared" si="115"/>
        <v>0.3320499999999999</v>
      </c>
      <c r="I262" s="12">
        <f t="shared" si="115"/>
        <v>0.35263999999999995</v>
      </c>
      <c r="J262" s="12">
        <f t="shared" si="115"/>
        <v>0.37322999999999995</v>
      </c>
      <c r="K262" s="12">
        <f t="shared" si="115"/>
        <v>0.39381999999999995</v>
      </c>
      <c r="L262" s="12">
        <f t="shared" si="115"/>
        <v>0.41440999999999995</v>
      </c>
      <c r="M262" s="137">
        <v>0.435</v>
      </c>
      <c r="N262" s="164">
        <f t="shared" si="115"/>
        <v>0.45558999999999994</v>
      </c>
      <c r="O262" s="12">
        <f t="shared" si="111"/>
        <v>0.47617999999999994</v>
      </c>
      <c r="P262" s="12">
        <f t="shared" si="111"/>
        <v>0.49676999999999999</v>
      </c>
      <c r="Q262" s="127">
        <f t="shared" si="111"/>
        <v>0.51736000000000004</v>
      </c>
      <c r="R262" s="132">
        <f t="shared" si="116"/>
        <v>0.53795000000000004</v>
      </c>
      <c r="S262" s="130"/>
      <c r="T262" s="11">
        <f t="shared" si="117"/>
        <v>0.435</v>
      </c>
      <c r="U262" s="11">
        <f t="shared" si="112"/>
        <v>0.53795000000000004</v>
      </c>
      <c r="V262" s="90" t="s">
        <v>44</v>
      </c>
      <c r="W262" s="91">
        <f>INDEX(LINEST(T262:U262,(T$36:U$36)^{1}),1)</f>
        <v>2.0590000000000008E-2</v>
      </c>
      <c r="X262" s="91">
        <f>INDEX(LINEST(T262:U262,(T$36:U$36)^{1}),1,2)</f>
        <v>0.41440999999999995</v>
      </c>
    </row>
    <row r="263" spans="1:24" x14ac:dyDescent="0.25">
      <c r="A263" s="83"/>
      <c r="B263" s="4">
        <v>5</v>
      </c>
      <c r="C263" s="1">
        <v>0.56000000000000005</v>
      </c>
      <c r="D263" s="1">
        <f t="shared" si="113"/>
        <v>0.54</v>
      </c>
      <c r="E263" s="11">
        <f t="shared" si="114"/>
        <v>1.054945054945055</v>
      </c>
      <c r="F263" s="49">
        <f t="shared" si="109"/>
        <v>0.94989561586638838</v>
      </c>
      <c r="G263" s="12">
        <f t="shared" si="115"/>
        <v>0.35545999999999994</v>
      </c>
      <c r="H263" s="12">
        <f t="shared" si="115"/>
        <v>0.37204999999999994</v>
      </c>
      <c r="I263" s="12">
        <f t="shared" si="115"/>
        <v>0.38863999999999999</v>
      </c>
      <c r="J263" s="12">
        <f t="shared" si="115"/>
        <v>0.40522999999999998</v>
      </c>
      <c r="K263" s="12">
        <f t="shared" si="115"/>
        <v>0.42181999999999997</v>
      </c>
      <c r="L263" s="12">
        <f t="shared" si="115"/>
        <v>0.43840999999999997</v>
      </c>
      <c r="M263" s="137">
        <v>0.45500000000000002</v>
      </c>
      <c r="N263" s="164">
        <f t="shared" si="115"/>
        <v>0.47158999999999995</v>
      </c>
      <c r="O263" s="12">
        <f t="shared" si="111"/>
        <v>0.48817999999999995</v>
      </c>
      <c r="P263" s="12">
        <f t="shared" si="111"/>
        <v>0.50476999999999994</v>
      </c>
      <c r="Q263" s="127">
        <f t="shared" si="111"/>
        <v>0.52136000000000005</v>
      </c>
      <c r="R263" s="132">
        <f t="shared" si="116"/>
        <v>0.53795000000000004</v>
      </c>
      <c r="S263" s="130"/>
      <c r="T263" s="11">
        <f t="shared" si="117"/>
        <v>0.45500000000000002</v>
      </c>
      <c r="U263" s="11">
        <f t="shared" si="112"/>
        <v>0.53795000000000004</v>
      </c>
      <c r="V263" s="90" t="s">
        <v>44</v>
      </c>
      <c r="W263" s="91">
        <f>INDEX(LINEST(T263:U263,(T$36:U$36)^{1}),1)</f>
        <v>1.6590000000000004E-2</v>
      </c>
      <c r="X263" s="91">
        <f>INDEX(LINEST(T263:U263,(T$36:U$36)^{1}),1,2)</f>
        <v>0.43840999999999997</v>
      </c>
    </row>
    <row r="264" spans="1:24" x14ac:dyDescent="0.25">
      <c r="A264" s="83"/>
      <c r="B264" s="4">
        <v>10</v>
      </c>
      <c r="C264" s="5">
        <v>0.64</v>
      </c>
      <c r="D264" s="5">
        <f t="shared" si="113"/>
        <v>0.62</v>
      </c>
      <c r="E264" s="11">
        <f t="shared" si="114"/>
        <v>1.1043841336116911</v>
      </c>
      <c r="F264" s="49">
        <f t="shared" si="109"/>
        <v>0.9392156862745098</v>
      </c>
      <c r="G264" s="14">
        <f t="shared" si="115"/>
        <v>0.4082599999999999</v>
      </c>
      <c r="H264" s="14">
        <f t="shared" si="115"/>
        <v>0.42004999999999992</v>
      </c>
      <c r="I264" s="14">
        <f t="shared" si="115"/>
        <v>0.43183999999999995</v>
      </c>
      <c r="J264" s="14">
        <f t="shared" si="115"/>
        <v>0.44362999999999991</v>
      </c>
      <c r="K264" s="14">
        <f>($W264*K$36)+$X264</f>
        <v>0.45541999999999994</v>
      </c>
      <c r="L264" s="14">
        <f t="shared" si="115"/>
        <v>0.46720999999999996</v>
      </c>
      <c r="M264" s="138">
        <v>0.47899999999999998</v>
      </c>
      <c r="N264" s="165">
        <f>($W264*N$36)+$X264</f>
        <v>0.49079</v>
      </c>
      <c r="O264" s="14">
        <f t="shared" si="111"/>
        <v>0.50258000000000003</v>
      </c>
      <c r="P264" s="14">
        <f t="shared" si="111"/>
        <v>0.51436999999999999</v>
      </c>
      <c r="Q264" s="128">
        <f t="shared" si="111"/>
        <v>0.52615999999999996</v>
      </c>
      <c r="R264" s="133">
        <f t="shared" si="116"/>
        <v>0.53795000000000004</v>
      </c>
      <c r="S264" s="130"/>
      <c r="T264" s="11">
        <f t="shared" si="117"/>
        <v>0.47899999999999998</v>
      </c>
      <c r="U264" s="11">
        <f t="shared" si="112"/>
        <v>0.53795000000000004</v>
      </c>
      <c r="V264" s="90" t="s">
        <v>44</v>
      </c>
      <c r="W264" s="91">
        <f>INDEX(LINEST(T264:U264,(T$36:U$36)^{1}),1)</f>
        <v>1.1790000000000011E-2</v>
      </c>
      <c r="X264" s="91">
        <f>INDEX(LINEST(T264:U264,(T$36:U$36)^{1}),1,2)</f>
        <v>0.46720999999999996</v>
      </c>
    </row>
    <row r="265" spans="1:24" x14ac:dyDescent="0.25">
      <c r="A265" s="83"/>
      <c r="B265" s="4">
        <v>20</v>
      </c>
      <c r="C265" s="1">
        <v>0.66</v>
      </c>
      <c r="D265" s="1">
        <f t="shared" si="113"/>
        <v>0.64</v>
      </c>
      <c r="E265" s="11">
        <f t="shared" si="114"/>
        <v>1.0980392156862746</v>
      </c>
      <c r="F265" s="49">
        <f t="shared" si="109"/>
        <v>0.9751434034416826</v>
      </c>
      <c r="G265" s="12">
        <f t="shared" si="115"/>
        <v>0.47645999999999999</v>
      </c>
      <c r="H265" s="12">
        <f t="shared" si="115"/>
        <v>0.48204999999999998</v>
      </c>
      <c r="I265" s="12">
        <f t="shared" si="115"/>
        <v>0.48764000000000002</v>
      </c>
      <c r="J265" s="12">
        <f t="shared" si="115"/>
        <v>0.49323</v>
      </c>
      <c r="K265" s="12">
        <f t="shared" si="115"/>
        <v>0.49882000000000004</v>
      </c>
      <c r="L265" s="12">
        <f t="shared" si="115"/>
        <v>0.50441000000000003</v>
      </c>
      <c r="M265" s="137">
        <v>0.51</v>
      </c>
      <c r="N265" s="164">
        <f t="shared" si="115"/>
        <v>0.51558999999999999</v>
      </c>
      <c r="O265" s="12">
        <f t="shared" si="111"/>
        <v>0.52118000000000009</v>
      </c>
      <c r="P265" s="12">
        <f t="shared" si="111"/>
        <v>0.52677000000000007</v>
      </c>
      <c r="Q265" s="127">
        <f t="shared" si="111"/>
        <v>0.53236000000000006</v>
      </c>
      <c r="R265" s="132">
        <f t="shared" si="116"/>
        <v>0.53795000000000004</v>
      </c>
      <c r="S265" s="130"/>
      <c r="T265" s="11">
        <f t="shared" si="117"/>
        <v>0.51</v>
      </c>
      <c r="U265" s="11">
        <f t="shared" si="112"/>
        <v>0.53795000000000004</v>
      </c>
      <c r="V265" s="90" t="s">
        <v>44</v>
      </c>
      <c r="W265" s="91">
        <f>INDEX(LINEST(T265:U265,(T$36:U$36)^{1}),1)</f>
        <v>5.5900000000000056E-3</v>
      </c>
      <c r="X265" s="91">
        <f>INDEX(LINEST(T265:U265,(T$36:U$36)^{1}),1,2)</f>
        <v>0.50441000000000003</v>
      </c>
    </row>
    <row r="266" spans="1:24" x14ac:dyDescent="0.25">
      <c r="A266" s="83"/>
      <c r="B266" s="4">
        <v>30</v>
      </c>
      <c r="C266" s="1">
        <v>0.68</v>
      </c>
      <c r="D266" s="1">
        <f t="shared" si="113"/>
        <v>0.66</v>
      </c>
      <c r="E266" s="11">
        <f t="shared" si="114"/>
        <v>1.0956022944550667</v>
      </c>
      <c r="F266" s="49">
        <f t="shared" si="109"/>
        <v>0.98679245283018868</v>
      </c>
      <c r="G266" s="12">
        <f t="shared" si="115"/>
        <v>0.50505999999999995</v>
      </c>
      <c r="H266" s="12">
        <f t="shared" si="115"/>
        <v>0.50805</v>
      </c>
      <c r="I266" s="12">
        <f t="shared" si="115"/>
        <v>0.51103999999999994</v>
      </c>
      <c r="J266" s="12">
        <f t="shared" si="115"/>
        <v>0.51402999999999999</v>
      </c>
      <c r="K266" s="12">
        <f t="shared" si="115"/>
        <v>0.51701999999999992</v>
      </c>
      <c r="L266" s="12">
        <f t="shared" si="115"/>
        <v>0.52000999999999997</v>
      </c>
      <c r="M266" s="137">
        <v>0.52300000000000002</v>
      </c>
      <c r="N266" s="164">
        <f t="shared" si="115"/>
        <v>0.52598999999999996</v>
      </c>
      <c r="O266" s="12">
        <f t="shared" si="111"/>
        <v>0.52898000000000001</v>
      </c>
      <c r="P266" s="12">
        <f t="shared" si="111"/>
        <v>0.53196999999999994</v>
      </c>
      <c r="Q266" s="127">
        <f t="shared" si="111"/>
        <v>0.53495999999999999</v>
      </c>
      <c r="R266" s="132">
        <f t="shared" si="116"/>
        <v>0.53795000000000004</v>
      </c>
      <c r="S266" s="130"/>
      <c r="T266" s="11">
        <f t="shared" si="117"/>
        <v>0.52300000000000002</v>
      </c>
      <c r="U266" s="11">
        <f t="shared" si="112"/>
        <v>0.53795000000000004</v>
      </c>
      <c r="V266" s="90" t="s">
        <v>44</v>
      </c>
      <c r="W266" s="91">
        <f>INDEX(LINEST(T266:U266,(T$36:U$36)^{1}),1)</f>
        <v>2.9900000000000035E-3</v>
      </c>
      <c r="X266" s="91">
        <f>INDEX(LINEST(T266:U266,(T$36:U$36)^{1}),1,2)</f>
        <v>0.52000999999999997</v>
      </c>
    </row>
    <row r="267" spans="1:24" x14ac:dyDescent="0.25">
      <c r="A267" s="83"/>
      <c r="B267" s="4">
        <v>40</v>
      </c>
      <c r="C267" s="1">
        <v>0.69</v>
      </c>
      <c r="D267" s="1">
        <f t="shared" si="113"/>
        <v>0.66999999999999993</v>
      </c>
      <c r="E267" s="11">
        <f t="shared" si="114"/>
        <v>1.0943396226415094</v>
      </c>
      <c r="F267" s="49">
        <f t="shared" si="109"/>
        <v>0.99250936329588013</v>
      </c>
      <c r="G267" s="12">
        <f t="shared" si="115"/>
        <v>0.52046000000000003</v>
      </c>
      <c r="H267" s="12">
        <f t="shared" si="115"/>
        <v>0.52205000000000001</v>
      </c>
      <c r="I267" s="12">
        <f t="shared" si="115"/>
        <v>0.52363999999999999</v>
      </c>
      <c r="J267" s="12">
        <f t="shared" si="115"/>
        <v>0.52523000000000009</v>
      </c>
      <c r="K267" s="12">
        <f t="shared" si="115"/>
        <v>0.52682000000000007</v>
      </c>
      <c r="L267" s="12">
        <f t="shared" si="115"/>
        <v>0.52841000000000005</v>
      </c>
      <c r="M267" s="137">
        <v>0.53</v>
      </c>
      <c r="N267" s="164">
        <f t="shared" si="115"/>
        <v>0.53159000000000001</v>
      </c>
      <c r="O267" s="12">
        <f t="shared" si="111"/>
        <v>0.5331800000000001</v>
      </c>
      <c r="P267" s="12">
        <f t="shared" si="111"/>
        <v>0.53477000000000008</v>
      </c>
      <c r="Q267" s="127">
        <f t="shared" si="111"/>
        <v>0.53636000000000006</v>
      </c>
      <c r="R267" s="132">
        <f t="shared" si="116"/>
        <v>0.53795000000000004</v>
      </c>
      <c r="S267" s="130"/>
      <c r="T267" s="11">
        <f t="shared" si="117"/>
        <v>0.53</v>
      </c>
      <c r="U267" s="11">
        <f t="shared" si="112"/>
        <v>0.53795000000000004</v>
      </c>
      <c r="V267" s="90" t="s">
        <v>44</v>
      </c>
      <c r="W267" s="91">
        <f>INDEX(LINEST(T267:U267,(T$36:U$36)^{1}),1)</f>
        <v>1.5900000000000018E-3</v>
      </c>
      <c r="X267" s="91">
        <f>INDEX(LINEST(T267:U267,(T$36:U$36)^{1}),1,2)</f>
        <v>0.52841000000000005</v>
      </c>
    </row>
    <row r="268" spans="1:24" x14ac:dyDescent="0.25">
      <c r="A268" s="83"/>
      <c r="B268" s="4">
        <v>50</v>
      </c>
      <c r="C268" s="1">
        <v>0.71</v>
      </c>
      <c r="D268" s="1">
        <f t="shared" si="113"/>
        <v>0.69</v>
      </c>
      <c r="E268" s="11">
        <f t="shared" si="114"/>
        <v>1.0936329588014979</v>
      </c>
      <c r="F268" s="49">
        <f t="shared" si="109"/>
        <v>0.994413407821229</v>
      </c>
      <c r="G268" s="12">
        <f t="shared" si="115"/>
        <v>0.52926000000000006</v>
      </c>
      <c r="H268" s="12">
        <f t="shared" si="115"/>
        <v>0.53005000000000002</v>
      </c>
      <c r="I268" s="12">
        <f t="shared" si="115"/>
        <v>0.53084000000000009</v>
      </c>
      <c r="J268" s="12">
        <f t="shared" si="115"/>
        <v>0.53163000000000005</v>
      </c>
      <c r="K268" s="12">
        <f t="shared" si="115"/>
        <v>0.53242000000000012</v>
      </c>
      <c r="L268" s="12">
        <f t="shared" si="115"/>
        <v>0.53321000000000007</v>
      </c>
      <c r="M268" s="137">
        <v>0.53400000000000003</v>
      </c>
      <c r="N268" s="164">
        <f t="shared" si="115"/>
        <v>0.5347900000000001</v>
      </c>
      <c r="O268" s="12">
        <f t="shared" si="111"/>
        <v>0.53558000000000006</v>
      </c>
      <c r="P268" s="12">
        <f t="shared" si="111"/>
        <v>0.53637000000000012</v>
      </c>
      <c r="Q268" s="127">
        <f t="shared" si="111"/>
        <v>0.53716000000000008</v>
      </c>
      <c r="R268" s="132">
        <f t="shared" si="116"/>
        <v>0.53795000000000004</v>
      </c>
      <c r="S268" s="130"/>
      <c r="T268" s="11">
        <f t="shared" si="117"/>
        <v>0.53400000000000003</v>
      </c>
      <c r="U268" s="11">
        <f t="shared" si="112"/>
        <v>0.53795000000000004</v>
      </c>
      <c r="V268" s="90" t="s">
        <v>44</v>
      </c>
      <c r="W268" s="91">
        <f>INDEX(LINEST(T268:U268,(T$36:U$36)^{1}),1)</f>
        <v>7.9000000000000175E-4</v>
      </c>
      <c r="X268" s="91">
        <f>INDEX(LINEST(T268:U268,(T$36:U$36)^{1}),1,2)</f>
        <v>0.53321000000000007</v>
      </c>
    </row>
    <row r="269" spans="1:24" x14ac:dyDescent="0.25">
      <c r="A269" s="83"/>
      <c r="B269" s="4">
        <v>60</v>
      </c>
      <c r="C269" s="1">
        <v>0.72</v>
      </c>
      <c r="D269" s="1">
        <f t="shared" si="113"/>
        <v>0.7</v>
      </c>
      <c r="E269" s="11">
        <f t="shared" si="114"/>
        <v>1.0931098696461823</v>
      </c>
      <c r="F269" s="49">
        <f t="shared" si="109"/>
        <v>0.9981412639405205</v>
      </c>
      <c r="G269" s="12">
        <f t="shared" si="115"/>
        <v>0.53586</v>
      </c>
      <c r="H269" s="12">
        <f t="shared" si="115"/>
        <v>0.53605000000000003</v>
      </c>
      <c r="I269" s="12">
        <f t="shared" si="115"/>
        <v>0.53624000000000005</v>
      </c>
      <c r="J269" s="12">
        <f t="shared" si="115"/>
        <v>0.53642999999999996</v>
      </c>
      <c r="K269" s="12">
        <f t="shared" si="115"/>
        <v>0.53661999999999999</v>
      </c>
      <c r="L269" s="12">
        <f t="shared" si="115"/>
        <v>0.53681000000000001</v>
      </c>
      <c r="M269" s="137">
        <v>0.53700000000000003</v>
      </c>
      <c r="N269" s="164">
        <f t="shared" si="115"/>
        <v>0.53719000000000006</v>
      </c>
      <c r="O269" s="12">
        <f t="shared" si="111"/>
        <v>0.53737999999999997</v>
      </c>
      <c r="P269" s="12">
        <f t="shared" si="111"/>
        <v>0.53756999999999999</v>
      </c>
      <c r="Q269" s="127">
        <f t="shared" si="111"/>
        <v>0.53776000000000002</v>
      </c>
      <c r="R269" s="132">
        <f t="shared" si="116"/>
        <v>0.53795000000000004</v>
      </c>
      <c r="S269" s="130"/>
      <c r="T269" s="11">
        <f t="shared" si="117"/>
        <v>0.53700000000000003</v>
      </c>
      <c r="U269" s="11">
        <f t="shared" si="112"/>
        <v>0.53795000000000004</v>
      </c>
      <c r="V269" s="90" t="s">
        <v>44</v>
      </c>
      <c r="W269" s="91">
        <f>INDEX(LINEST(T269:U269,(T$36:U$36)^{1}),1)</f>
        <v>1.9000000000000126E-4</v>
      </c>
      <c r="X269" s="91">
        <f>INDEX(LINEST(T269:U269,(T$36:U$36)^{1}),1,2)</f>
        <v>0.53681000000000001</v>
      </c>
    </row>
    <row r="270" spans="1:24" x14ac:dyDescent="0.25">
      <c r="A270" s="83"/>
      <c r="B270" s="4">
        <v>70</v>
      </c>
      <c r="C270" s="5">
        <v>0.72</v>
      </c>
      <c r="D270" s="5">
        <f t="shared" si="113"/>
        <v>0.7</v>
      </c>
      <c r="E270" s="11">
        <f t="shared" si="114"/>
        <v>1.0933085501858735</v>
      </c>
      <c r="F270" s="52">
        <f>M270/M270</f>
        <v>1</v>
      </c>
      <c r="G270" s="53">
        <f t="shared" si="115"/>
        <v>0.53806000000000009</v>
      </c>
      <c r="H270" s="53">
        <f t="shared" si="115"/>
        <v>0.53805000000000014</v>
      </c>
      <c r="I270" s="53">
        <f t="shared" si="115"/>
        <v>0.53804000000000007</v>
      </c>
      <c r="J270" s="53">
        <f t="shared" si="115"/>
        <v>0.53803000000000012</v>
      </c>
      <c r="K270" s="53">
        <f t="shared" si="115"/>
        <v>0.53802000000000005</v>
      </c>
      <c r="L270" s="53">
        <f t="shared" si="115"/>
        <v>0.5380100000000001</v>
      </c>
      <c r="M270" s="139">
        <v>0.53800000000000003</v>
      </c>
      <c r="N270" s="166">
        <f>($W270*N$36)+$X270</f>
        <v>0.53799000000000008</v>
      </c>
      <c r="O270" s="53">
        <f t="shared" si="111"/>
        <v>0.53798000000000012</v>
      </c>
      <c r="P270" s="53">
        <f t="shared" si="111"/>
        <v>0.53797000000000006</v>
      </c>
      <c r="Q270" s="129">
        <f t="shared" si="111"/>
        <v>0.5379600000000001</v>
      </c>
      <c r="R270" s="134">
        <f t="shared" si="116"/>
        <v>0.53795000000000004</v>
      </c>
      <c r="T270" s="11">
        <f>M270</f>
        <v>0.53800000000000003</v>
      </c>
      <c r="U270" s="11">
        <f>R270</f>
        <v>0.53795000000000004</v>
      </c>
      <c r="V270" s="90" t="s">
        <v>44</v>
      </c>
      <c r="W270" s="91">
        <f>INDEX(LINEST(T270:U270,(T$36:U$36)^{1}),1)</f>
        <v>-9.999999999998898E-6</v>
      </c>
      <c r="X270" s="91">
        <f>INDEX(LINEST(T270:U270,(T$36:U$36)^{1}),1,2)</f>
        <v>0.5380100000000001</v>
      </c>
    </row>
    <row r="271" spans="1:24" x14ac:dyDescent="0.25">
      <c r="A271" s="83"/>
      <c r="M271">
        <f>M270/M259</f>
        <v>1.8551724137931036</v>
      </c>
      <c r="T271" s="1"/>
      <c r="U271" s="1"/>
      <c r="V271" s="90"/>
    </row>
    <row r="272" spans="1:24" ht="15.75" x14ac:dyDescent="0.25">
      <c r="D272" s="20" t="s">
        <v>78</v>
      </c>
      <c r="M272" s="170">
        <f>M270/M265</f>
        <v>1.0549019607843138</v>
      </c>
      <c r="T272" s="189" t="s">
        <v>131</v>
      </c>
      <c r="U272" s="1"/>
      <c r="V272" s="90"/>
    </row>
    <row r="273" spans="2:25" ht="15.75" x14ac:dyDescent="0.25">
      <c r="D273" s="20" t="s">
        <v>99</v>
      </c>
      <c r="S273" s="189"/>
      <c r="T273" s="189" t="s">
        <v>132</v>
      </c>
      <c r="U273" s="1"/>
      <c r="V273" s="90"/>
    </row>
    <row r="274" spans="2:25" ht="16.5" thickBot="1" x14ac:dyDescent="0.3">
      <c r="D274" s="20" t="s">
        <v>100</v>
      </c>
      <c r="S274" s="189"/>
      <c r="T274" s="1"/>
    </row>
    <row r="275" spans="2:25" x14ac:dyDescent="0.25">
      <c r="D275" s="174" t="s">
        <v>126</v>
      </c>
      <c r="T275" s="1"/>
      <c r="V275" s="79" t="s">
        <v>136</v>
      </c>
      <c r="W275" s="81"/>
      <c r="X275" s="81"/>
      <c r="Y275" s="82"/>
    </row>
    <row r="276" spans="2:25" x14ac:dyDescent="0.25">
      <c r="T276" s="1"/>
      <c r="U276" s="7"/>
      <c r="V276" s="83"/>
      <c r="X276" s="1" t="s">
        <v>113</v>
      </c>
      <c r="Y276" s="84"/>
    </row>
    <row r="277" spans="2:25" x14ac:dyDescent="0.25">
      <c r="B277" s="188" t="s">
        <v>130</v>
      </c>
      <c r="H277" s="4" t="s">
        <v>9</v>
      </c>
      <c r="I277" s="190" t="s">
        <v>134</v>
      </c>
      <c r="J277" s="190"/>
      <c r="K277" s="190"/>
      <c r="L277" s="42"/>
      <c r="M277" s="42"/>
      <c r="N277" s="42" t="s">
        <v>166</v>
      </c>
      <c r="O277" s="204" t="s">
        <v>167</v>
      </c>
      <c r="P277" s="42" t="s">
        <v>176</v>
      </c>
      <c r="Q277" s="42" t="s">
        <v>177</v>
      </c>
      <c r="T277" s="122" t="s">
        <v>133</v>
      </c>
      <c r="V277" s="195" t="s">
        <v>173</v>
      </c>
      <c r="W277">
        <f>0.55/0.7</f>
        <v>0.78571428571428581</v>
      </c>
      <c r="X277" s="1" t="s">
        <v>103</v>
      </c>
      <c r="Y277" s="191" t="s">
        <v>112</v>
      </c>
    </row>
    <row r="278" spans="2:25" x14ac:dyDescent="0.25">
      <c r="B278" s="174" t="s">
        <v>135</v>
      </c>
      <c r="H278" s="4">
        <v>1</v>
      </c>
      <c r="J278" s="63"/>
      <c r="K278" s="63"/>
      <c r="L278" s="63"/>
      <c r="M278" s="219">
        <f t="shared" ref="M278" si="118">(M259*$D$114*SQRT(4*$D$116*$B$120/32.2)/12)*$H278/2</f>
        <v>0.89753368651005117</v>
      </c>
      <c r="N278" s="63">
        <f t="shared" ref="N278:O278" si="119">(N259*$D$114*SQRT(4*$D$116*$B$120/32.2)/12)*$H278/2</f>
        <v>1.0510119469032697</v>
      </c>
      <c r="O278" s="63">
        <f t="shared" si="119"/>
        <v>1.2044902072964885</v>
      </c>
      <c r="P278" s="63">
        <f t="shared" ref="P278:Q278" si="120">(P259*$D$114*SQRT(4*$D$116*$B$120/32.2)/12)*$H278/2</f>
        <v>1.3579684676897072</v>
      </c>
      <c r="Q278" s="63">
        <f t="shared" si="120"/>
        <v>1.5114467280829258</v>
      </c>
      <c r="R278" s="63"/>
      <c r="T278" s="205">
        <f>'curve_rzeta_targetnu_add_2.5'!N278</f>
        <v>1.0977431304077079</v>
      </c>
      <c r="V278" s="83"/>
      <c r="W278" s="153">
        <f>X278*$W$277</f>
        <v>0.94285714285714295</v>
      </c>
      <c r="X278" s="149">
        <v>1.2</v>
      </c>
      <c r="Y278" s="192">
        <f>T278/W278</f>
        <v>1.164273017099084</v>
      </c>
    </row>
    <row r="279" spans="2:25" x14ac:dyDescent="0.25">
      <c r="B279" s="174" t="s">
        <v>143</v>
      </c>
      <c r="H279" s="4">
        <v>2</v>
      </c>
      <c r="J279" s="58"/>
      <c r="K279" s="58"/>
      <c r="L279" s="58"/>
      <c r="M279" s="220">
        <f t="shared" ref="M279" si="121">(M260*$D$114*SQRT(4*$D$116*$B$120/32.2)/12)*$H279/2</f>
        <v>2.2283594975421956</v>
      </c>
      <c r="N279" s="58">
        <f t="shared" ref="N279:O279" si="122">(N260*$D$114*SQRT(4*$D$116*$B$120/32.2)/12)*$H279/2</f>
        <v>2.4486575934242145</v>
      </c>
      <c r="O279" s="58">
        <f t="shared" si="122"/>
        <v>2.6689556893062334</v>
      </c>
      <c r="P279" s="58">
        <f t="shared" ref="P279:Q279" si="123">(P260*$D$114*SQRT(4*$D$116*$B$120/32.2)/12)*$H279/2</f>
        <v>2.8892537851882523</v>
      </c>
      <c r="Q279" s="58">
        <f t="shared" si="123"/>
        <v>3.1095518810702707</v>
      </c>
      <c r="R279" s="58"/>
      <c r="T279" s="11">
        <f>'curve_rzeta_targetnu_add_2.5'!N279</f>
        <v>0.76386647425072263</v>
      </c>
      <c r="U279" s="115"/>
      <c r="V279" s="83"/>
      <c r="W279" s="154">
        <f t="shared" ref="W279:W289" si="124">X279*$W$277</f>
        <v>0.66785714285714293</v>
      </c>
      <c r="X279" s="150">
        <v>0.85</v>
      </c>
      <c r="Y279" s="192">
        <f t="shared" ref="Y279:Y283" si="125">T279/W279</f>
        <v>1.1437572876481408</v>
      </c>
    </row>
    <row r="280" spans="2:25" x14ac:dyDescent="0.25">
      <c r="H280" s="4">
        <v>3</v>
      </c>
      <c r="J280" s="67"/>
      <c r="K280" s="67"/>
      <c r="L280" s="67"/>
      <c r="M280" s="221">
        <f t="shared" ref="M280" si="126">(M261*$D$114*SQRT(4*$D$116*$B$120/32.2)/12)*$H280/2</f>
        <v>3.7139324959036601</v>
      </c>
      <c r="N280" s="67">
        <f t="shared" ref="N280:O280" si="127">(N261*$D$114*SQRT(4*$D$116*$B$120/32.2)/12)*$H280/2</f>
        <v>3.970100989808615</v>
      </c>
      <c r="O280" s="67">
        <f t="shared" si="127"/>
        <v>4.2262694837135699</v>
      </c>
      <c r="P280" s="67">
        <f t="shared" ref="P280:Q280" si="128">(P261*$D$114*SQRT(4*$D$116*$B$120/32.2)/12)*$H280/2</f>
        <v>4.4824379776185248</v>
      </c>
      <c r="Q280" s="67">
        <f t="shared" si="128"/>
        <v>4.7386064715234797</v>
      </c>
      <c r="R280" s="67"/>
      <c r="T280" s="205">
        <f>'curve_rzeta_targetnu_add_2.5'!N280</f>
        <v>0.66924052755086483</v>
      </c>
      <c r="U280" s="115"/>
      <c r="V280" s="83"/>
      <c r="W280" s="157">
        <f t="shared" si="124"/>
        <v>0.58928571428571441</v>
      </c>
      <c r="X280" s="158">
        <v>0.75</v>
      </c>
      <c r="Y280" s="192">
        <f t="shared" si="125"/>
        <v>1.135680895237831</v>
      </c>
    </row>
    <row r="281" spans="2:25" x14ac:dyDescent="0.25">
      <c r="H281" s="4">
        <v>4</v>
      </c>
      <c r="J281" s="58"/>
      <c r="K281" s="58"/>
      <c r="L281" s="58"/>
      <c r="M281" s="220">
        <f t="shared" ref="M281" si="129">(M262*$D$114*SQRT(4*$D$116*$B$120/32.2)/12)*$H281/2</f>
        <v>5.385202119060307</v>
      </c>
      <c r="N281" s="58">
        <f t="shared" ref="N281:O281" si="130">(N262*$D$114*SQRT(4*$D$116*$B$120/32.2)/12)*$H281/2</f>
        <v>5.6401016860291611</v>
      </c>
      <c r="O281" s="58">
        <f t="shared" si="130"/>
        <v>5.8950012529980143</v>
      </c>
      <c r="P281" s="58">
        <f t="shared" ref="P281:Q281" si="131">(P262*$D$114*SQRT(4*$D$116*$B$120/32.2)/12)*$H281/2</f>
        <v>6.1499008199668701</v>
      </c>
      <c r="Q281" s="58">
        <f t="shared" si="131"/>
        <v>6.4048003869357251</v>
      </c>
      <c r="R281" s="58"/>
      <c r="T281" s="11">
        <f>'curve_rzeta_targetnu_add_2.5'!N281</f>
        <v>0.63692719901815931</v>
      </c>
      <c r="U281" s="115"/>
      <c r="V281" s="83"/>
      <c r="W281" s="154">
        <f t="shared" si="124"/>
        <v>0.56571428571428573</v>
      </c>
      <c r="X281" s="150">
        <v>0.72</v>
      </c>
      <c r="Y281" s="192">
        <f t="shared" si="125"/>
        <v>1.1258814124058372</v>
      </c>
    </row>
    <row r="282" spans="2:25" x14ac:dyDescent="0.25">
      <c r="H282" s="4">
        <v>5</v>
      </c>
      <c r="J282" s="58"/>
      <c r="K282" s="58"/>
      <c r="L282" s="58"/>
      <c r="M282" s="220">
        <f t="shared" ref="M282" si="132">(M263*$D$114*SQRT(4*$D$116*$B$120/32.2)/12)*$H282/2</f>
        <v>7.0409970234840227</v>
      </c>
      <c r="N282" s="58">
        <f t="shared" ref="N282:O282" si="133">(N263*$D$114*SQRT(4*$D$116*$B$120/32.2)/12)*$H282/2</f>
        <v>7.2977226072633616</v>
      </c>
      <c r="O282" s="58">
        <f t="shared" si="133"/>
        <v>7.5544481910427033</v>
      </c>
      <c r="P282" s="58">
        <f t="shared" ref="P282:Q282" si="134">(P263*$D$114*SQRT(4*$D$116*$B$120/32.2)/12)*$H282/2</f>
        <v>7.8111737748220422</v>
      </c>
      <c r="Q282" s="58">
        <f t="shared" si="134"/>
        <v>8.0678993586013839</v>
      </c>
      <c r="R282" s="58"/>
      <c r="T282" s="11">
        <f>'curve_rzeta_targetnu_add_2.5'!N282</f>
        <v>0.61653922557738783</v>
      </c>
      <c r="U282" s="115"/>
      <c r="V282" s="83"/>
      <c r="W282" s="154">
        <f t="shared" si="124"/>
        <v>0.55785714285714294</v>
      </c>
      <c r="X282" s="150">
        <v>0.71</v>
      </c>
      <c r="Y282" s="192">
        <f t="shared" si="125"/>
        <v>1.10519195365985</v>
      </c>
    </row>
    <row r="283" spans="2:25" x14ac:dyDescent="0.25">
      <c r="H283" s="4">
        <v>10</v>
      </c>
      <c r="J283" s="67"/>
      <c r="K283" s="67"/>
      <c r="L283" s="67"/>
      <c r="M283" s="221">
        <f t="shared" ref="M283" si="135">(M264*$D$114*SQRT(4*$D$116*$B$120/32.2)/12)*$H283/2</f>
        <v>14.824780546148775</v>
      </c>
      <c r="N283" s="67">
        <f t="shared" ref="N283:O283" si="136">(N264*$D$114*SQRT(4*$D$116*$B$120/32.2)/12)*$H283/2</f>
        <v>15.189674413871311</v>
      </c>
      <c r="O283" s="67">
        <f t="shared" si="136"/>
        <v>15.554568281593848</v>
      </c>
      <c r="P283" s="67">
        <f t="shared" ref="P283:Q283" si="137">(P264*$D$114*SQRT(4*$D$116*$B$120/32.2)/12)*$H283/2</f>
        <v>15.919462149316379</v>
      </c>
      <c r="Q283" s="67">
        <f t="shared" si="137"/>
        <v>16.28435601703891</v>
      </c>
      <c r="R283" s="67"/>
      <c r="T283" s="205">
        <f>'curve_rzeta_targetnu_add_2.5'!N283</f>
        <v>0.55976365755747304</v>
      </c>
      <c r="U283" s="115"/>
      <c r="V283" s="83"/>
      <c r="W283" s="157">
        <f t="shared" si="124"/>
        <v>0.55000000000000004</v>
      </c>
      <c r="X283" s="158">
        <v>0.7</v>
      </c>
      <c r="Y283" s="192">
        <f t="shared" si="125"/>
        <v>1.0177521046499509</v>
      </c>
    </row>
    <row r="284" spans="2:25" x14ac:dyDescent="0.25">
      <c r="H284" s="4">
        <v>20</v>
      </c>
      <c r="J284" s="58"/>
      <c r="K284" s="58"/>
      <c r="L284" s="58"/>
      <c r="M284" s="220">
        <f t="shared" ref="M284" si="138">(M265*$D$114*SQRT(4*$D$116*$B$120/32.2)/12)*$H284/2</f>
        <v>31.568426215181109</v>
      </c>
      <c r="N284" s="58">
        <f t="shared" ref="N284:O284" si="139">(N265*$D$114*SQRT(4*$D$116*$B$120/32.2)/12)*$H284/2</f>
        <v>31.914440926049465</v>
      </c>
      <c r="O284" s="58">
        <f t="shared" si="139"/>
        <v>32.260455636917825</v>
      </c>
      <c r="P284" s="58">
        <f t="shared" ref="P284:Q284" si="140">(P265*$D$114*SQRT(4*$D$116*$B$120/32.2)/12)*$H284/2</f>
        <v>32.606470347786185</v>
      </c>
      <c r="Q284" s="58">
        <f t="shared" si="140"/>
        <v>32.952485058654538</v>
      </c>
      <c r="R284" s="58"/>
      <c r="T284" s="11">
        <f>'curve_rzeta_targetnu_add_2.5'!N284</f>
        <v>0.55037542364933201</v>
      </c>
      <c r="U284" s="115"/>
      <c r="V284" s="83"/>
      <c r="W284" s="154">
        <f t="shared" si="124"/>
        <v>0.55000000000000004</v>
      </c>
      <c r="X284" s="150">
        <v>0.7</v>
      </c>
      <c r="Y284" s="84"/>
    </row>
    <row r="285" spans="2:25" x14ac:dyDescent="0.25">
      <c r="H285" s="4">
        <v>30</v>
      </c>
      <c r="J285" s="58"/>
      <c r="K285" s="58"/>
      <c r="L285" s="58"/>
      <c r="M285" s="220">
        <f t="shared" ref="M285" si="141">(M266*$D$114*SQRT(4*$D$116*$B$120/32.2)/12)*$H285/2</f>
        <v>48.559667383940351</v>
      </c>
      <c r="N285" s="58">
        <f t="shared" ref="N285:O285" si="142">(N266*$D$114*SQRT(4*$D$116*$B$120/32.2)/12)*$H285/2</f>
        <v>48.837283838009142</v>
      </c>
      <c r="O285" s="58">
        <f t="shared" si="142"/>
        <v>49.114900292077948</v>
      </c>
      <c r="P285" s="58">
        <f t="shared" ref="P285:Q285" si="143">(P266*$D$114*SQRT(4*$D$116*$B$120/32.2)/12)*$H285/2</f>
        <v>49.39251674614674</v>
      </c>
      <c r="Q285" s="58">
        <f t="shared" si="143"/>
        <v>49.670133200215552</v>
      </c>
      <c r="R285" s="58"/>
      <c r="T285" s="11">
        <f>'curve_rzeta_targetnu_add_2.5'!N285</f>
        <v>0.54991261586968021</v>
      </c>
      <c r="U285" s="115"/>
      <c r="V285" s="83"/>
      <c r="W285" s="154">
        <f t="shared" si="124"/>
        <v>0.55000000000000004</v>
      </c>
      <c r="X285" s="150">
        <v>0.7</v>
      </c>
      <c r="Y285" s="84"/>
    </row>
    <row r="286" spans="2:25" x14ac:dyDescent="0.25">
      <c r="H286" s="4">
        <v>40</v>
      </c>
      <c r="J286" s="58"/>
      <c r="K286" s="58"/>
      <c r="L286" s="58"/>
      <c r="M286" s="220">
        <f t="shared" ref="M286" si="144">(M267*$D$114*SQRT(4*$D$116*$B$120/32.2)/12)*$H286/2</f>
        <v>65.612807427631324</v>
      </c>
      <c r="N286" s="58">
        <f t="shared" ref="N286:O286" si="145">(N267*$D$114*SQRT(4*$D$116*$B$120/32.2)/12)*$H286/2</f>
        <v>65.809645849914219</v>
      </c>
      <c r="O286" s="58">
        <f t="shared" si="145"/>
        <v>66.006484272197127</v>
      </c>
      <c r="P286" s="58">
        <f t="shared" ref="P286:Q286" si="146">(P267*$D$114*SQRT(4*$D$116*$B$120/32.2)/12)*$H286/2</f>
        <v>66.203322694480022</v>
      </c>
      <c r="Q286" s="58">
        <f t="shared" si="146"/>
        <v>66.400161116762902</v>
      </c>
      <c r="R286" s="58"/>
      <c r="T286" s="11">
        <f>'curve_rzeta_targetnu_add_2.5'!N286</f>
        <v>0.55018120014042859</v>
      </c>
      <c r="U286" s="115"/>
      <c r="V286" s="83"/>
      <c r="W286" s="154">
        <f t="shared" si="124"/>
        <v>0.55000000000000004</v>
      </c>
      <c r="X286" s="150">
        <v>0.7</v>
      </c>
      <c r="Y286" s="84"/>
    </row>
    <row r="287" spans="2:25" x14ac:dyDescent="0.25">
      <c r="H287" s="4">
        <v>50</v>
      </c>
      <c r="J287" s="58"/>
      <c r="K287" s="58"/>
      <c r="L287" s="58"/>
      <c r="M287" s="220">
        <f t="shared" ref="M287" si="147">(M268*$D$114*SQRT(4*$D$116*$B$120/32.2)/12)*$H287/2</f>
        <v>82.634998033856419</v>
      </c>
      <c r="N287" s="58">
        <f t="shared" ref="N287:O287" si="148">(N268*$D$114*SQRT(4*$D$116*$B$120/32.2)/12)*$H287/2</f>
        <v>82.75724831184661</v>
      </c>
      <c r="O287" s="58">
        <f t="shared" si="148"/>
        <v>82.879498589836771</v>
      </c>
      <c r="P287" s="58">
        <f t="shared" ref="P287:Q287" si="149">(P268*$D$114*SQRT(4*$D$116*$B$120/32.2)/12)*$H287/2</f>
        <v>83.001748867826933</v>
      </c>
      <c r="Q287" s="58">
        <f t="shared" si="149"/>
        <v>83.123999145817081</v>
      </c>
      <c r="R287" s="58"/>
      <c r="T287" s="11">
        <f>'curve_rzeta_targetnu_add_2.5'!N287</f>
        <v>0.55014235543864776</v>
      </c>
      <c r="V287" s="83"/>
      <c r="W287" s="154">
        <f t="shared" si="124"/>
        <v>0.55000000000000004</v>
      </c>
      <c r="X287" s="150">
        <v>0.7</v>
      </c>
      <c r="Y287" s="84"/>
    </row>
    <row r="288" spans="2:25" x14ac:dyDescent="0.25">
      <c r="H288" s="4">
        <v>60</v>
      </c>
      <c r="J288" s="58"/>
      <c r="K288" s="58"/>
      <c r="L288" s="58"/>
      <c r="M288" s="220">
        <f t="shared" ref="M288" si="150">(M269*$D$114*SQRT(4*$D$116*$B$120/32.2)/12)*$H288/2</f>
        <v>99.719087515013285</v>
      </c>
      <c r="N288" s="58">
        <f t="shared" ref="N288:O288" si="151">(N269*$D$114*SQRT(4*$D$116*$B$120/32.2)/12)*$H288/2</f>
        <v>99.754369873724343</v>
      </c>
      <c r="O288" s="58">
        <f t="shared" si="151"/>
        <v>99.789652232435415</v>
      </c>
      <c r="P288" s="58">
        <f t="shared" ref="P288:Q288" si="152">(P269*$D$114*SQRT(4*$D$116*$B$120/32.2)/12)*$H288/2</f>
        <v>99.82493459114653</v>
      </c>
      <c r="Q288" s="58">
        <f t="shared" si="152"/>
        <v>99.860216949857602</v>
      </c>
      <c r="R288" s="58"/>
      <c r="T288" s="11">
        <f>'curve_rzeta_targetnu_add_2.5'!N288</f>
        <v>0.55044978441117687</v>
      </c>
      <c r="V288" s="83"/>
      <c r="W288" s="154">
        <f t="shared" si="124"/>
        <v>0.55000000000000004</v>
      </c>
      <c r="X288" s="150">
        <v>0.7</v>
      </c>
      <c r="Y288" s="84"/>
    </row>
    <row r="289" spans="1:27" ht="15.75" thickBot="1" x14ac:dyDescent="0.3">
      <c r="H289" s="4">
        <v>70</v>
      </c>
      <c r="J289" s="67"/>
      <c r="K289" s="67"/>
      <c r="L289" s="67"/>
      <c r="M289" s="221">
        <f t="shared" ref="M289" si="153">(M270*$D$114*SQRT(4*$D$116*$B$120/32.2)/12)*$H289/2</f>
        <v>116.55558149644321</v>
      </c>
      <c r="N289" s="67">
        <f t="shared" ref="N289:O289" si="154">(N270*$D$114*SQRT(4*$D$116*$B$120/32.2)/12)*$H289/2</f>
        <v>116.55341503582061</v>
      </c>
      <c r="O289" s="67">
        <f t="shared" si="154"/>
        <v>116.551248575198</v>
      </c>
      <c r="P289" s="67">
        <f t="shared" ref="P289:Q289" si="155">(P270*$D$114*SQRT(4*$D$116*$B$120/32.2)/12)*$H289/2</f>
        <v>116.54908211457537</v>
      </c>
      <c r="Q289" s="67">
        <f t="shared" si="155"/>
        <v>116.54691565395277</v>
      </c>
      <c r="R289" s="67"/>
      <c r="T289" s="11">
        <f>'curve_rzeta_targetnu_add_2.5'!N289</f>
        <v>0.54952654645309951</v>
      </c>
      <c r="V289" s="93"/>
      <c r="W289" s="193">
        <f t="shared" si="124"/>
        <v>0.55000000000000004</v>
      </c>
      <c r="X289" s="194">
        <v>0.7</v>
      </c>
      <c r="Y289" s="97"/>
    </row>
    <row r="290" spans="1:27" x14ac:dyDescent="0.25">
      <c r="M290" s="114"/>
      <c r="S290" t="s">
        <v>137</v>
      </c>
    </row>
    <row r="292" spans="1:27" ht="15.75" thickBot="1" x14ac:dyDescent="0.3">
      <c r="A292" s="141"/>
      <c r="B292" s="141"/>
      <c r="C292" s="141"/>
      <c r="D292" s="141"/>
      <c r="E292" s="141"/>
      <c r="F292" s="141"/>
      <c r="G292" s="141"/>
      <c r="H292" s="141"/>
      <c r="I292" s="141"/>
      <c r="J292" s="141"/>
      <c r="K292" s="141"/>
      <c r="L292" s="141"/>
      <c r="M292" s="142"/>
      <c r="N292" s="141"/>
      <c r="O292" s="141"/>
      <c r="P292" s="141"/>
      <c r="Q292" s="141"/>
      <c r="R292" s="141"/>
      <c r="S292" s="141"/>
      <c r="T292" s="141"/>
      <c r="U292" s="141"/>
      <c r="V292" s="141"/>
      <c r="W292" s="141"/>
      <c r="X292" s="141"/>
      <c r="Y292" s="141"/>
    </row>
    <row r="293" spans="1:27" ht="15.75" thickTop="1" x14ac:dyDescent="0.25">
      <c r="M293" s="114"/>
    </row>
    <row r="294" spans="1:27" x14ac:dyDescent="0.25">
      <c r="M294" s="114"/>
    </row>
    <row r="295" spans="1:27" x14ac:dyDescent="0.25">
      <c r="A295" t="s">
        <v>159</v>
      </c>
      <c r="B295" s="207" t="s">
        <v>178</v>
      </c>
      <c r="M295" s="114"/>
    </row>
    <row r="296" spans="1:27" x14ac:dyDescent="0.25">
      <c r="B296" t="s">
        <v>74</v>
      </c>
    </row>
    <row r="297" spans="1:27" x14ac:dyDescent="0.25">
      <c r="B297" s="20" t="s">
        <v>108</v>
      </c>
      <c r="Z297">
        <v>0.75</v>
      </c>
    </row>
    <row r="298" spans="1:27" x14ac:dyDescent="0.25">
      <c r="A298" s="83"/>
      <c r="B298" s="20"/>
      <c r="Z298">
        <v>0.72899999999999998</v>
      </c>
      <c r="AA298">
        <f>Z298/Z297</f>
        <v>0.97199999999999998</v>
      </c>
    </row>
    <row r="299" spans="1:27" x14ac:dyDescent="0.25">
      <c r="A299" s="83"/>
      <c r="B299" s="135">
        <v>0.17150000000000001</v>
      </c>
      <c r="D299">
        <v>0.1363</v>
      </c>
      <c r="Z299">
        <v>0.70699999999999996</v>
      </c>
      <c r="AA299">
        <f t="shared" ref="AA299:AA301" si="156">Z299/Z298</f>
        <v>0.96982167352537718</v>
      </c>
    </row>
    <row r="300" spans="1:27" x14ac:dyDescent="0.25">
      <c r="A300" s="83"/>
      <c r="B300" s="85">
        <v>1</v>
      </c>
      <c r="Z300">
        <v>0.66900000000000004</v>
      </c>
      <c r="AA300">
        <f t="shared" si="156"/>
        <v>0.94625176803394639</v>
      </c>
    </row>
    <row r="301" spans="1:27" x14ac:dyDescent="0.25">
      <c r="A301" s="83">
        <v>1</v>
      </c>
      <c r="B301" s="86">
        <f>B300+B$299</f>
        <v>1.1715</v>
      </c>
      <c r="H301" s="7"/>
      <c r="L301" s="21"/>
      <c r="M301" s="31" t="s">
        <v>38</v>
      </c>
      <c r="N301" s="32">
        <f>B301</f>
        <v>1.1715</v>
      </c>
      <c r="O301" s="32">
        <f>B302</f>
        <v>1.343</v>
      </c>
      <c r="P301" s="32">
        <f>B303</f>
        <v>1.5145</v>
      </c>
      <c r="Q301" s="32">
        <f>B304</f>
        <v>1.6859999999999999</v>
      </c>
      <c r="R301" s="32">
        <f>B305</f>
        <v>1.8574999999999999</v>
      </c>
      <c r="S301" s="33"/>
      <c r="Z301">
        <v>0.63</v>
      </c>
      <c r="AA301">
        <f t="shared" si="156"/>
        <v>0.9417040358744394</v>
      </c>
    </row>
    <row r="302" spans="1:27" x14ac:dyDescent="0.25">
      <c r="A302" s="83">
        <v>2</v>
      </c>
      <c r="B302" s="86">
        <f t="shared" ref="B302:B306" si="157">B301+B$299</f>
        <v>1.343</v>
      </c>
      <c r="L302" s="34"/>
      <c r="M302" s="35">
        <v>1</v>
      </c>
      <c r="N302" s="35">
        <v>2</v>
      </c>
      <c r="O302" s="35">
        <v>3</v>
      </c>
      <c r="P302" s="35">
        <v>4</v>
      </c>
      <c r="Q302" s="35">
        <v>5</v>
      </c>
      <c r="R302" s="35">
        <v>6</v>
      </c>
      <c r="S302" s="36"/>
    </row>
    <row r="303" spans="1:27" x14ac:dyDescent="0.25">
      <c r="A303" s="83">
        <v>3</v>
      </c>
      <c r="B303" s="86">
        <f t="shared" si="157"/>
        <v>1.5145</v>
      </c>
      <c r="K303" s="2" t="s">
        <v>76</v>
      </c>
      <c r="L303" s="24"/>
      <c r="M303" s="124">
        <v>0.26300000000000001</v>
      </c>
      <c r="N303" s="11">
        <f>$M303*N301</f>
        <v>0.3081045</v>
      </c>
      <c r="O303" s="11">
        <f>$M303*O301</f>
        <v>0.353209</v>
      </c>
      <c r="P303" s="11">
        <f>$M303*P301</f>
        <v>0.39831349999999999</v>
      </c>
      <c r="Q303" s="11">
        <f>$M303*Q301</f>
        <v>0.44341799999999998</v>
      </c>
      <c r="R303" s="130">
        <f>$M303*R301</f>
        <v>0.48852250000000003</v>
      </c>
      <c r="S303" s="36" t="s">
        <v>39</v>
      </c>
      <c r="T303" s="140">
        <f>R303/M325</f>
        <v>1.0000460593654044</v>
      </c>
      <c r="U303" s="171">
        <f>B299/T303</f>
        <v>0.17149210118264768</v>
      </c>
    </row>
    <row r="304" spans="1:27" x14ac:dyDescent="0.25">
      <c r="A304" s="83">
        <v>4</v>
      </c>
      <c r="B304" s="86">
        <f t="shared" si="157"/>
        <v>1.6859999999999999</v>
      </c>
      <c r="L304" s="26"/>
      <c r="M304" s="38">
        <f t="shared" ref="M304:R304" si="158">M303</f>
        <v>0.26300000000000001</v>
      </c>
      <c r="N304" s="38">
        <f t="shared" si="158"/>
        <v>0.3081045</v>
      </c>
      <c r="O304" s="38">
        <f t="shared" si="158"/>
        <v>0.353209</v>
      </c>
      <c r="P304" s="38">
        <f t="shared" si="158"/>
        <v>0.39831349999999999</v>
      </c>
      <c r="Q304" s="38">
        <f t="shared" si="158"/>
        <v>0.44341799999999998</v>
      </c>
      <c r="R304" s="38">
        <f t="shared" si="158"/>
        <v>0.48852250000000003</v>
      </c>
      <c r="S304" s="39" t="s">
        <v>42</v>
      </c>
    </row>
    <row r="305" spans="1:24" x14ac:dyDescent="0.25">
      <c r="A305" s="83">
        <v>5</v>
      </c>
      <c r="B305" s="86">
        <f t="shared" si="157"/>
        <v>1.8574999999999999</v>
      </c>
    </row>
    <row r="306" spans="1:24" x14ac:dyDescent="0.25">
      <c r="A306" s="83">
        <v>6</v>
      </c>
      <c r="B306" s="86">
        <f t="shared" si="157"/>
        <v>2.0289999999999999</v>
      </c>
      <c r="D306" t="s">
        <v>72</v>
      </c>
      <c r="K306" s="18"/>
      <c r="L306" s="20" t="s">
        <v>154</v>
      </c>
    </row>
    <row r="307" spans="1:24" x14ac:dyDescent="0.25">
      <c r="A307" s="83"/>
      <c r="B307" s="86"/>
      <c r="F307" s="40" t="s">
        <v>101</v>
      </c>
      <c r="G307" s="22"/>
      <c r="H307" s="22"/>
      <c r="I307" s="22"/>
      <c r="J307" s="22"/>
      <c r="K307" s="22"/>
      <c r="L307" s="210" t="s">
        <v>119</v>
      </c>
      <c r="M307" s="167"/>
      <c r="N307" s="22"/>
      <c r="O307" s="211" t="s">
        <v>179</v>
      </c>
      <c r="P307" s="22"/>
      <c r="Q307" s="55" t="s">
        <v>45</v>
      </c>
      <c r="R307" s="23"/>
    </row>
    <row r="308" spans="1:24" x14ac:dyDescent="0.25">
      <c r="A308" s="83"/>
      <c r="B308" s="86"/>
      <c r="F308" s="183"/>
      <c r="L308" s="187" t="s">
        <v>123</v>
      </c>
      <c r="M308" s="184"/>
      <c r="O308" s="212"/>
      <c r="Q308" s="186"/>
      <c r="R308" s="25"/>
    </row>
    <row r="309" spans="1:24" x14ac:dyDescent="0.25">
      <c r="A309" s="83"/>
      <c r="B309" s="20"/>
      <c r="F309" s="24"/>
      <c r="L309" s="207" t="s">
        <v>124</v>
      </c>
      <c r="O309" s="24"/>
      <c r="R309" s="25"/>
    </row>
    <row r="310" spans="1:24" x14ac:dyDescent="0.25">
      <c r="A310" s="83"/>
      <c r="F310" s="41"/>
      <c r="G310" s="42"/>
      <c r="H310" s="42"/>
      <c r="I310" s="42"/>
      <c r="J310" s="42"/>
      <c r="K310" s="42"/>
      <c r="L310" s="42"/>
      <c r="M310" s="42"/>
      <c r="N310" s="42"/>
      <c r="O310" s="172" t="s">
        <v>185</v>
      </c>
      <c r="P310" s="42" t="s">
        <v>182</v>
      </c>
      <c r="Q310" s="42" t="s">
        <v>183</v>
      </c>
      <c r="R310" s="43" t="s">
        <v>184</v>
      </c>
    </row>
    <row r="311" spans="1:24" x14ac:dyDescent="0.25">
      <c r="A311" s="83"/>
      <c r="C311" s="73" t="s">
        <v>34</v>
      </c>
      <c r="F311" s="44"/>
      <c r="G311" s="4">
        <v>-5</v>
      </c>
      <c r="H311" s="4">
        <v>-4</v>
      </c>
      <c r="I311" s="4">
        <v>-3</v>
      </c>
      <c r="J311" s="4">
        <v>-2</v>
      </c>
      <c r="K311" s="4">
        <v>-1</v>
      </c>
      <c r="L311" s="4">
        <v>0</v>
      </c>
      <c r="M311" s="4">
        <v>1</v>
      </c>
      <c r="N311" s="4">
        <v>2</v>
      </c>
      <c r="O311" s="44">
        <v>3</v>
      </c>
      <c r="P311" s="4">
        <v>4</v>
      </c>
      <c r="Q311" s="4">
        <v>5</v>
      </c>
      <c r="R311" s="45">
        <v>6</v>
      </c>
      <c r="T311" s="4">
        <v>1</v>
      </c>
      <c r="U311" s="4">
        <v>6</v>
      </c>
    </row>
    <row r="312" spans="1:24" x14ac:dyDescent="0.25">
      <c r="A312" s="83"/>
      <c r="B312" s="4"/>
      <c r="C312" s="4" t="s">
        <v>10</v>
      </c>
      <c r="D312" s="87" t="s">
        <v>37</v>
      </c>
      <c r="E312" s="73"/>
      <c r="F312" s="24"/>
      <c r="N312" s="46" t="s">
        <v>43</v>
      </c>
      <c r="O312" s="24"/>
      <c r="R312" s="25"/>
      <c r="T312" t="s">
        <v>129</v>
      </c>
    </row>
    <row r="313" spans="1:24" x14ac:dyDescent="0.25">
      <c r="A313" s="83"/>
      <c r="B313" s="4" t="s">
        <v>9</v>
      </c>
      <c r="C313" s="88" t="s">
        <v>36</v>
      </c>
      <c r="D313" s="89">
        <v>-0.02</v>
      </c>
      <c r="E313" s="74"/>
      <c r="F313" s="24"/>
      <c r="G313" s="47"/>
      <c r="H313" s="47"/>
      <c r="I313" s="47"/>
      <c r="J313" s="47"/>
      <c r="K313" s="47"/>
      <c r="L313" s="47"/>
      <c r="M313" s="144">
        <f>M303</f>
        <v>0.26300000000000001</v>
      </c>
      <c r="N313" s="144">
        <f>N303</f>
        <v>0.3081045</v>
      </c>
      <c r="O313" s="213">
        <f t="shared" ref="O313:R313" si="159">O303</f>
        <v>0.353209</v>
      </c>
      <c r="P313" s="144">
        <f t="shared" si="159"/>
        <v>0.39831349999999999</v>
      </c>
      <c r="Q313" s="144">
        <f t="shared" si="159"/>
        <v>0.44341799999999998</v>
      </c>
      <c r="R313" s="145">
        <f t="shared" si="159"/>
        <v>0.48852250000000003</v>
      </c>
    </row>
    <row r="314" spans="1:24" x14ac:dyDescent="0.25">
      <c r="A314" s="83"/>
      <c r="B314" s="4">
        <v>1</v>
      </c>
      <c r="C314" s="6">
        <v>0.78</v>
      </c>
      <c r="D314" s="6">
        <f>C314+$D$93</f>
        <v>0.76</v>
      </c>
      <c r="E314" s="11">
        <f>M258/M314</f>
        <v>1.1153846153846152</v>
      </c>
      <c r="F314" s="49">
        <f t="shared" ref="F314:F324" si="160">M314/M315</f>
        <v>0.77611940298507465</v>
      </c>
      <c r="G314" s="13">
        <f>($W314*G$36)+$X314</f>
        <v>-1.4227000000000045E-2</v>
      </c>
      <c r="H314" s="13">
        <f t="shared" ref="H314:K314" si="161">($W314*H$36)+$X314</f>
        <v>3.1477499999999964E-2</v>
      </c>
      <c r="I314" s="13">
        <f t="shared" si="161"/>
        <v>7.7181999999999973E-2</v>
      </c>
      <c r="J314" s="13">
        <f t="shared" si="161"/>
        <v>0.12288649999999997</v>
      </c>
      <c r="K314" s="13">
        <f t="shared" si="161"/>
        <v>0.16859099999999996</v>
      </c>
      <c r="L314" s="13">
        <f>($W314*L$36)+$X314</f>
        <v>0.21429549999999997</v>
      </c>
      <c r="M314" s="136">
        <v>0.26</v>
      </c>
      <c r="N314" s="13">
        <f>($W314*N$36)+$X314</f>
        <v>0.30570449999999999</v>
      </c>
      <c r="O314" s="163">
        <f t="shared" ref="O314:Q325" si="162">($W314*O$36)+$X314</f>
        <v>0.35140899999999997</v>
      </c>
      <c r="P314" s="13">
        <f t="shared" si="162"/>
        <v>0.39711350000000001</v>
      </c>
      <c r="Q314" s="13">
        <f t="shared" si="162"/>
        <v>0.44281799999999999</v>
      </c>
      <c r="R314" s="131">
        <f>$R$303</f>
        <v>0.48852250000000003</v>
      </c>
      <c r="S314" s="130"/>
      <c r="T314" s="11">
        <f>M314</f>
        <v>0.26</v>
      </c>
      <c r="U314" s="11">
        <f t="shared" ref="U314:U324" si="163">R314</f>
        <v>0.48852250000000003</v>
      </c>
      <c r="V314" s="90" t="s">
        <v>44</v>
      </c>
      <c r="W314" s="91">
        <f>INDEX(LINEST(T314:U314,(T$36:U$36)^{1}),1)</f>
        <v>4.5704500000000002E-2</v>
      </c>
      <c r="X314" s="91">
        <f>INDEX(LINEST(T314:U314,(T$36:U$36)^{1}),1,2)</f>
        <v>0.21429549999999997</v>
      </c>
    </row>
    <row r="315" spans="1:24" x14ac:dyDescent="0.25">
      <c r="A315" s="83"/>
      <c r="B315" s="4">
        <v>2</v>
      </c>
      <c r="C315" s="1">
        <v>0.56999999999999995</v>
      </c>
      <c r="D315" s="1">
        <f t="shared" ref="D315:D325" si="164">C315+$D$93</f>
        <v>0.54999999999999993</v>
      </c>
      <c r="E315" s="11">
        <f t="shared" ref="E315:E325" si="165">M259/M315</f>
        <v>0.86567164179104461</v>
      </c>
      <c r="F315" s="49">
        <f t="shared" si="160"/>
        <v>0.89333333333333342</v>
      </c>
      <c r="G315" s="12">
        <f t="shared" ref="G315:N325" si="166">($W315*G$36)+$X315</f>
        <v>0.15077299999999999</v>
      </c>
      <c r="H315" s="12">
        <f t="shared" si="166"/>
        <v>0.18147749999999999</v>
      </c>
      <c r="I315" s="12">
        <f t="shared" si="166"/>
        <v>0.21218199999999998</v>
      </c>
      <c r="J315" s="12">
        <f t="shared" si="166"/>
        <v>0.24288650000000001</v>
      </c>
      <c r="K315" s="12">
        <f t="shared" si="166"/>
        <v>0.27359099999999997</v>
      </c>
      <c r="L315" s="12">
        <f t="shared" si="166"/>
        <v>0.3042955</v>
      </c>
      <c r="M315" s="137">
        <v>0.33500000000000002</v>
      </c>
      <c r="N315" s="12">
        <f t="shared" si="166"/>
        <v>0.36570449999999999</v>
      </c>
      <c r="O315" s="164">
        <f t="shared" si="162"/>
        <v>0.39640900000000001</v>
      </c>
      <c r="P315" s="12">
        <f t="shared" si="162"/>
        <v>0.42711350000000003</v>
      </c>
      <c r="Q315" s="12">
        <f t="shared" si="162"/>
        <v>0.457818</v>
      </c>
      <c r="R315" s="132">
        <f t="shared" ref="R315:R325" si="167">$R$303</f>
        <v>0.48852250000000003</v>
      </c>
      <c r="S315" s="130"/>
      <c r="T315" s="11">
        <f t="shared" ref="T315:T324" si="168">M315</f>
        <v>0.33500000000000002</v>
      </c>
      <c r="U315" s="11">
        <f t="shared" si="163"/>
        <v>0.48852250000000003</v>
      </c>
      <c r="V315" s="90" t="s">
        <v>44</v>
      </c>
      <c r="W315" s="91">
        <f>INDEX(LINEST(T315:U315,(T$36:U$36)^{1}),1)</f>
        <v>3.0704500000000003E-2</v>
      </c>
      <c r="X315" s="91">
        <f>INDEX(LINEST(T315:U315,(T$36:U$36)^{1}),1,2)</f>
        <v>0.3042955</v>
      </c>
    </row>
    <row r="316" spans="1:24" x14ac:dyDescent="0.25">
      <c r="A316" s="83"/>
      <c r="B316" s="4">
        <v>3</v>
      </c>
      <c r="C316" s="5">
        <v>0.54</v>
      </c>
      <c r="D316" s="5">
        <f t="shared" si="164"/>
        <v>0.52</v>
      </c>
      <c r="E316" s="11">
        <f t="shared" si="165"/>
        <v>0.96</v>
      </c>
      <c r="F316" s="49">
        <f t="shared" si="160"/>
        <v>0.9375</v>
      </c>
      <c r="G316" s="14">
        <f t="shared" si="166"/>
        <v>0.23877300000000001</v>
      </c>
      <c r="H316" s="14">
        <f t="shared" si="166"/>
        <v>0.26147750000000003</v>
      </c>
      <c r="I316" s="14">
        <f t="shared" si="166"/>
        <v>0.28418199999999999</v>
      </c>
      <c r="J316" s="14">
        <f t="shared" si="166"/>
        <v>0.30688650000000001</v>
      </c>
      <c r="K316" s="14">
        <f t="shared" si="166"/>
        <v>0.32959099999999997</v>
      </c>
      <c r="L316" s="14">
        <f t="shared" si="166"/>
        <v>0.35229549999999998</v>
      </c>
      <c r="M316" s="138">
        <v>0.375</v>
      </c>
      <c r="N316" s="14">
        <f t="shared" si="166"/>
        <v>0.39770449999999996</v>
      </c>
      <c r="O316" s="165">
        <f t="shared" si="162"/>
        <v>0.42040899999999998</v>
      </c>
      <c r="P316" s="14">
        <f t="shared" si="162"/>
        <v>0.44311349999999994</v>
      </c>
      <c r="Q316" s="14">
        <f t="shared" si="162"/>
        <v>0.46581799999999995</v>
      </c>
      <c r="R316" s="133">
        <f t="shared" si="167"/>
        <v>0.48852250000000003</v>
      </c>
      <c r="S316" s="130"/>
      <c r="T316" s="11">
        <f t="shared" si="168"/>
        <v>0.375</v>
      </c>
      <c r="U316" s="11">
        <f t="shared" si="163"/>
        <v>0.48852250000000003</v>
      </c>
      <c r="V316" s="90" t="s">
        <v>44</v>
      </c>
      <c r="W316" s="91">
        <f>INDEX(LINEST(T316:U316,(T$36:U$36)^{1}),1)</f>
        <v>2.2704499999999996E-2</v>
      </c>
      <c r="X316" s="91">
        <f>INDEX(LINEST(T316:U316,(T$36:U$36)^{1}),1,2)</f>
        <v>0.35229549999999998</v>
      </c>
    </row>
    <row r="317" spans="1:24" x14ac:dyDescent="0.25">
      <c r="A317" s="83"/>
      <c r="B317" s="4">
        <v>4</v>
      </c>
      <c r="C317" s="1">
        <v>0.53</v>
      </c>
      <c r="D317" s="1">
        <f t="shared" si="164"/>
        <v>0.51</v>
      </c>
      <c r="E317" s="11">
        <f t="shared" si="165"/>
        <v>1</v>
      </c>
      <c r="F317" s="49">
        <f t="shared" si="160"/>
        <v>0.96385542168674709</v>
      </c>
      <c r="G317" s="12">
        <f t="shared" si="166"/>
        <v>0.29377300000000006</v>
      </c>
      <c r="H317" s="12">
        <f t="shared" si="166"/>
        <v>0.31147750000000007</v>
      </c>
      <c r="I317" s="12">
        <f t="shared" si="166"/>
        <v>0.32918200000000009</v>
      </c>
      <c r="J317" s="12">
        <f t="shared" si="166"/>
        <v>0.34688650000000004</v>
      </c>
      <c r="K317" s="12">
        <f t="shared" si="166"/>
        <v>0.36459100000000005</v>
      </c>
      <c r="L317" s="12">
        <f t="shared" si="166"/>
        <v>0.38229550000000007</v>
      </c>
      <c r="M317" s="137">
        <v>0.4</v>
      </c>
      <c r="N317" s="12">
        <f t="shared" si="166"/>
        <v>0.41770450000000009</v>
      </c>
      <c r="O317" s="164">
        <f t="shared" si="162"/>
        <v>0.43540900000000005</v>
      </c>
      <c r="P317" s="12">
        <f t="shared" si="162"/>
        <v>0.45311350000000006</v>
      </c>
      <c r="Q317" s="12">
        <f t="shared" si="162"/>
        <v>0.47081800000000007</v>
      </c>
      <c r="R317" s="132">
        <f t="shared" si="167"/>
        <v>0.48852250000000003</v>
      </c>
      <c r="S317" s="130"/>
      <c r="T317" s="11">
        <f t="shared" si="168"/>
        <v>0.4</v>
      </c>
      <c r="U317" s="11">
        <f t="shared" si="163"/>
        <v>0.48852250000000003</v>
      </c>
      <c r="V317" s="90" t="s">
        <v>44</v>
      </c>
      <c r="W317" s="91">
        <f>INDEX(LINEST(T317:U317,(T$36:U$36)^{1}),1)</f>
        <v>1.7704500000000001E-2</v>
      </c>
      <c r="X317" s="91">
        <f>INDEX(LINEST(T317:U317,(T$36:U$36)^{1}),1,2)</f>
        <v>0.38229550000000007</v>
      </c>
    </row>
    <row r="318" spans="1:24" x14ac:dyDescent="0.25">
      <c r="A318" s="83"/>
      <c r="B318" s="4">
        <v>5</v>
      </c>
      <c r="C318" s="1">
        <v>0.56000000000000005</v>
      </c>
      <c r="D318" s="1">
        <f t="shared" si="164"/>
        <v>0.54</v>
      </c>
      <c r="E318" s="11">
        <f t="shared" si="165"/>
        <v>1.0481927710843375</v>
      </c>
      <c r="F318" s="49">
        <f t="shared" si="160"/>
        <v>0.93258426966292129</v>
      </c>
      <c r="G318" s="12">
        <f t="shared" si="166"/>
        <v>0.32677299999999992</v>
      </c>
      <c r="H318" s="12">
        <f t="shared" si="166"/>
        <v>0.34147749999999993</v>
      </c>
      <c r="I318" s="12">
        <f t="shared" si="166"/>
        <v>0.35618199999999994</v>
      </c>
      <c r="J318" s="12">
        <f t="shared" si="166"/>
        <v>0.37088649999999995</v>
      </c>
      <c r="K318" s="12">
        <f t="shared" si="166"/>
        <v>0.38559099999999996</v>
      </c>
      <c r="L318" s="12">
        <f t="shared" si="166"/>
        <v>0.40029549999999997</v>
      </c>
      <c r="M318" s="137">
        <v>0.41499999999999998</v>
      </c>
      <c r="N318" s="12">
        <f t="shared" si="166"/>
        <v>0.42970449999999999</v>
      </c>
      <c r="O318" s="164">
        <f t="shared" si="162"/>
        <v>0.444409</v>
      </c>
      <c r="P318" s="12">
        <f t="shared" si="162"/>
        <v>0.45911350000000001</v>
      </c>
      <c r="Q318" s="12">
        <f t="shared" si="162"/>
        <v>0.47381800000000002</v>
      </c>
      <c r="R318" s="132">
        <f t="shared" si="167"/>
        <v>0.48852250000000003</v>
      </c>
      <c r="S318" s="130"/>
      <c r="T318" s="11">
        <f t="shared" si="168"/>
        <v>0.41499999999999998</v>
      </c>
      <c r="U318" s="11">
        <f t="shared" si="163"/>
        <v>0.48852250000000003</v>
      </c>
      <c r="V318" s="90" t="s">
        <v>44</v>
      </c>
      <c r="W318" s="91">
        <f>INDEX(LINEST(T318:U318,(T$36:U$36)^{1}),1)</f>
        <v>1.4704500000000007E-2</v>
      </c>
      <c r="X318" s="91">
        <f>INDEX(LINEST(T318:U318,(T$36:U$36)^{1}),1,2)</f>
        <v>0.40029549999999997</v>
      </c>
    </row>
    <row r="319" spans="1:24" x14ac:dyDescent="0.25">
      <c r="A319" s="83"/>
      <c r="B319" s="4">
        <v>10</v>
      </c>
      <c r="C319" s="5">
        <v>0.64</v>
      </c>
      <c r="D319" s="5">
        <f t="shared" si="164"/>
        <v>0.62</v>
      </c>
      <c r="E319" s="11">
        <f t="shared" si="165"/>
        <v>1.0224719101123596</v>
      </c>
      <c r="F319" s="49">
        <f t="shared" si="160"/>
        <v>0.94882729211087424</v>
      </c>
      <c r="G319" s="14">
        <f t="shared" si="166"/>
        <v>0.39277299999999998</v>
      </c>
      <c r="H319" s="14">
        <f t="shared" si="166"/>
        <v>0.40147749999999999</v>
      </c>
      <c r="I319" s="14">
        <f t="shared" si="166"/>
        <v>0.41018199999999999</v>
      </c>
      <c r="J319" s="14">
        <f t="shared" si="166"/>
        <v>0.41888649999999999</v>
      </c>
      <c r="K319" s="14">
        <f>($W319*K$36)+$X319</f>
        <v>0.427591</v>
      </c>
      <c r="L319" s="14">
        <f t="shared" si="166"/>
        <v>0.4362955</v>
      </c>
      <c r="M319" s="138">
        <v>0.44500000000000001</v>
      </c>
      <c r="N319" s="14">
        <f>($W319*N$36)+$X319</f>
        <v>0.45370450000000001</v>
      </c>
      <c r="O319" s="165">
        <f t="shared" si="162"/>
        <v>0.46240900000000001</v>
      </c>
      <c r="P319" s="14">
        <f t="shared" si="162"/>
        <v>0.47111350000000002</v>
      </c>
      <c r="Q319" s="14">
        <f t="shared" si="162"/>
        <v>0.47981800000000002</v>
      </c>
      <c r="R319" s="133">
        <f t="shared" si="167"/>
        <v>0.48852250000000003</v>
      </c>
      <c r="S319" s="130"/>
      <c r="T319" s="11">
        <f t="shared" si="168"/>
        <v>0.44500000000000001</v>
      </c>
      <c r="U319" s="11">
        <f t="shared" si="163"/>
        <v>0.48852250000000003</v>
      </c>
      <c r="V319" s="90" t="s">
        <v>44</v>
      </c>
      <c r="W319" s="91">
        <f>INDEX(LINEST(T319:U319,(T$36:U$36)^{1}),1)</f>
        <v>8.7045000000000022E-3</v>
      </c>
      <c r="X319" s="91">
        <f>INDEX(LINEST(T319:U319,(T$36:U$36)^{1}),1,2)</f>
        <v>0.4362955</v>
      </c>
    </row>
    <row r="320" spans="1:24" x14ac:dyDescent="0.25">
      <c r="A320" s="83"/>
      <c r="B320" s="4">
        <v>20</v>
      </c>
      <c r="C320" s="1">
        <v>0.66</v>
      </c>
      <c r="D320" s="1">
        <f t="shared" si="164"/>
        <v>0.64</v>
      </c>
      <c r="E320" s="11">
        <f t="shared" si="165"/>
        <v>1.0213219616204692</v>
      </c>
      <c r="F320" s="49">
        <f t="shared" si="160"/>
        <v>0.98219895287958114</v>
      </c>
      <c r="G320" s="12">
        <f t="shared" si="166"/>
        <v>0.44557299999999994</v>
      </c>
      <c r="H320" s="12">
        <f t="shared" si="166"/>
        <v>0.44947749999999997</v>
      </c>
      <c r="I320" s="12">
        <f t="shared" si="166"/>
        <v>0.45338199999999995</v>
      </c>
      <c r="J320" s="12">
        <f t="shared" si="166"/>
        <v>0.45728649999999998</v>
      </c>
      <c r="K320" s="12">
        <f t="shared" si="166"/>
        <v>0.46119099999999996</v>
      </c>
      <c r="L320" s="12">
        <f t="shared" si="166"/>
        <v>0.4650955</v>
      </c>
      <c r="M320" s="137">
        <v>0.46899999999999997</v>
      </c>
      <c r="N320" s="12">
        <f t="shared" si="166"/>
        <v>0.47290450000000001</v>
      </c>
      <c r="O320" s="164">
        <f t="shared" si="162"/>
        <v>0.47680900000000004</v>
      </c>
      <c r="P320" s="12">
        <f t="shared" si="162"/>
        <v>0.48071350000000002</v>
      </c>
      <c r="Q320" s="12">
        <f t="shared" si="162"/>
        <v>0.48461800000000005</v>
      </c>
      <c r="R320" s="132">
        <f t="shared" si="167"/>
        <v>0.48852250000000003</v>
      </c>
      <c r="S320" s="130"/>
      <c r="T320" s="11">
        <f t="shared" si="168"/>
        <v>0.46899999999999997</v>
      </c>
      <c r="U320" s="11">
        <f t="shared" si="163"/>
        <v>0.48852250000000003</v>
      </c>
      <c r="V320" s="90" t="s">
        <v>44</v>
      </c>
      <c r="W320" s="91">
        <f>INDEX(LINEST(T320:U320,(T$36:U$36)^{1}),1)</f>
        <v>3.9045000000000108E-3</v>
      </c>
      <c r="X320" s="91">
        <f>INDEX(LINEST(T320:U320,(T$36:U$36)^{1}),1,2)</f>
        <v>0.4650955</v>
      </c>
    </row>
    <row r="321" spans="1:25" x14ac:dyDescent="0.25">
      <c r="A321" s="83"/>
      <c r="B321" s="4">
        <v>30</v>
      </c>
      <c r="C321" s="1">
        <v>0.68</v>
      </c>
      <c r="D321" s="1">
        <f t="shared" si="164"/>
        <v>0.66</v>
      </c>
      <c r="E321" s="11">
        <f t="shared" si="165"/>
        <v>1.0680628272251309</v>
      </c>
      <c r="F321" s="49">
        <f t="shared" si="160"/>
        <v>0.98657024793388426</v>
      </c>
      <c r="G321" s="12">
        <f t="shared" si="166"/>
        <v>0.46427299999999994</v>
      </c>
      <c r="H321" s="12">
        <f t="shared" si="166"/>
        <v>0.46647749999999993</v>
      </c>
      <c r="I321" s="12">
        <f t="shared" si="166"/>
        <v>0.46868199999999993</v>
      </c>
      <c r="J321" s="12">
        <f t="shared" si="166"/>
        <v>0.47088649999999999</v>
      </c>
      <c r="K321" s="12">
        <f t="shared" si="166"/>
        <v>0.47309099999999998</v>
      </c>
      <c r="L321" s="12">
        <f t="shared" si="166"/>
        <v>0.47529549999999998</v>
      </c>
      <c r="M321" s="137">
        <v>0.47749999999999998</v>
      </c>
      <c r="N321" s="12">
        <f t="shared" si="166"/>
        <v>0.47970449999999998</v>
      </c>
      <c r="O321" s="164">
        <f t="shared" si="162"/>
        <v>0.48190900000000003</v>
      </c>
      <c r="P321" s="12">
        <f t="shared" si="162"/>
        <v>0.48411350000000003</v>
      </c>
      <c r="Q321" s="12">
        <f t="shared" si="162"/>
        <v>0.48631800000000003</v>
      </c>
      <c r="R321" s="132">
        <f t="shared" si="167"/>
        <v>0.48852250000000003</v>
      </c>
      <c r="S321" s="130"/>
      <c r="T321" s="11">
        <f t="shared" si="168"/>
        <v>0.47749999999999998</v>
      </c>
      <c r="U321" s="11">
        <f t="shared" si="163"/>
        <v>0.48852250000000003</v>
      </c>
      <c r="V321" s="90" t="s">
        <v>44</v>
      </c>
      <c r="W321" s="91">
        <f>INDEX(LINEST(T321:U321,(T$36:U$36)^{1}),1)</f>
        <v>2.204500000000009E-3</v>
      </c>
      <c r="X321" s="91">
        <f>INDEX(LINEST(T321:U321,(T$36:U$36)^{1}),1,2)</f>
        <v>0.47529549999999998</v>
      </c>
    </row>
    <row r="322" spans="1:25" x14ac:dyDescent="0.25">
      <c r="A322" s="83"/>
      <c r="B322" s="4">
        <v>40</v>
      </c>
      <c r="C322" s="1">
        <v>0.69</v>
      </c>
      <c r="D322" s="1">
        <f t="shared" si="164"/>
        <v>0.66999999999999993</v>
      </c>
      <c r="E322" s="11">
        <f t="shared" si="165"/>
        <v>1.0805785123966942</v>
      </c>
      <c r="F322" s="49">
        <f t="shared" si="160"/>
        <v>0.99691040164778577</v>
      </c>
      <c r="G322" s="12">
        <f t="shared" si="166"/>
        <v>0.47857299999999992</v>
      </c>
      <c r="H322" s="12">
        <f t="shared" si="166"/>
        <v>0.47947749999999995</v>
      </c>
      <c r="I322" s="12">
        <f t="shared" si="166"/>
        <v>0.48038199999999992</v>
      </c>
      <c r="J322" s="12">
        <f t="shared" si="166"/>
        <v>0.48128649999999995</v>
      </c>
      <c r="K322" s="12">
        <f t="shared" si="166"/>
        <v>0.48219099999999993</v>
      </c>
      <c r="L322" s="12">
        <f t="shared" si="166"/>
        <v>0.48309549999999996</v>
      </c>
      <c r="M322" s="137">
        <v>0.48399999999999999</v>
      </c>
      <c r="N322" s="12">
        <f t="shared" si="166"/>
        <v>0.48490449999999996</v>
      </c>
      <c r="O322" s="164">
        <f t="shared" si="162"/>
        <v>0.48580899999999999</v>
      </c>
      <c r="P322" s="12">
        <f t="shared" si="162"/>
        <v>0.48671349999999997</v>
      </c>
      <c r="Q322" s="12">
        <f t="shared" si="162"/>
        <v>0.487618</v>
      </c>
      <c r="R322" s="132">
        <f t="shared" si="167"/>
        <v>0.48852250000000003</v>
      </c>
      <c r="S322" s="130"/>
      <c r="T322" s="11">
        <f t="shared" si="168"/>
        <v>0.48399999999999999</v>
      </c>
      <c r="U322" s="11">
        <f t="shared" si="163"/>
        <v>0.48852250000000003</v>
      </c>
      <c r="V322" s="90" t="s">
        <v>44</v>
      </c>
      <c r="W322" s="91">
        <f>INDEX(LINEST(T322:U322,(T$36:U$36)^{1}),1)</f>
        <v>9.0450000000000773E-4</v>
      </c>
      <c r="X322" s="91">
        <f>INDEX(LINEST(T322:U322,(T$36:U$36)^{1}),1,2)</f>
        <v>0.48309549999999996</v>
      </c>
    </row>
    <row r="323" spans="1:25" x14ac:dyDescent="0.25">
      <c r="A323" s="83"/>
      <c r="B323" s="4">
        <v>50</v>
      </c>
      <c r="C323" s="1">
        <v>0.71</v>
      </c>
      <c r="D323" s="1">
        <f t="shared" si="164"/>
        <v>0.69</v>
      </c>
      <c r="E323" s="11">
        <f t="shared" si="165"/>
        <v>1.0916580844490218</v>
      </c>
      <c r="F323" s="49">
        <f t="shared" si="160"/>
        <v>0.99691991786447642</v>
      </c>
      <c r="G323" s="12">
        <f t="shared" si="166"/>
        <v>0.48187299999999994</v>
      </c>
      <c r="H323" s="12">
        <f t="shared" si="166"/>
        <v>0.48247749999999995</v>
      </c>
      <c r="I323" s="12">
        <f t="shared" si="166"/>
        <v>0.48308199999999996</v>
      </c>
      <c r="J323" s="12">
        <f t="shared" si="166"/>
        <v>0.48368649999999996</v>
      </c>
      <c r="K323" s="12">
        <f t="shared" si="166"/>
        <v>0.48429099999999997</v>
      </c>
      <c r="L323" s="12">
        <f t="shared" si="166"/>
        <v>0.48489549999999998</v>
      </c>
      <c r="M323" s="137">
        <v>0.48549999999999999</v>
      </c>
      <c r="N323" s="12">
        <f t="shared" si="166"/>
        <v>0.48610449999999999</v>
      </c>
      <c r="O323" s="164">
        <f t="shared" si="162"/>
        <v>0.486709</v>
      </c>
      <c r="P323" s="12">
        <f t="shared" si="162"/>
        <v>0.48731350000000001</v>
      </c>
      <c r="Q323" s="12">
        <f t="shared" si="162"/>
        <v>0.48791800000000002</v>
      </c>
      <c r="R323" s="132">
        <f t="shared" si="167"/>
        <v>0.48852250000000003</v>
      </c>
      <c r="S323" s="130"/>
      <c r="T323" s="11">
        <f t="shared" si="168"/>
        <v>0.48549999999999999</v>
      </c>
      <c r="U323" s="11">
        <f t="shared" si="163"/>
        <v>0.48852250000000003</v>
      </c>
      <c r="V323" s="90" t="s">
        <v>44</v>
      </c>
      <c r="W323" s="91">
        <f>INDEX(LINEST(T323:U323,(T$36:U$36)^{1}),1)</f>
        <v>6.045000000000077E-4</v>
      </c>
      <c r="X323" s="91">
        <f>INDEX(LINEST(T323:U323,(T$36:U$36)^{1}),1,2)</f>
        <v>0.48489549999999998</v>
      </c>
    </row>
    <row r="324" spans="1:25" x14ac:dyDescent="0.25">
      <c r="A324" s="83"/>
      <c r="B324" s="4">
        <v>60</v>
      </c>
      <c r="C324" s="1">
        <v>0.72</v>
      </c>
      <c r="D324" s="1">
        <f t="shared" si="164"/>
        <v>0.7</v>
      </c>
      <c r="E324" s="11">
        <f t="shared" si="165"/>
        <v>1.0965092402464067</v>
      </c>
      <c r="F324" s="49">
        <f t="shared" si="160"/>
        <v>0.9969293756397134</v>
      </c>
      <c r="G324" s="12">
        <f t="shared" si="166"/>
        <v>0.48517299999999997</v>
      </c>
      <c r="H324" s="12">
        <f t="shared" si="166"/>
        <v>0.48547749999999995</v>
      </c>
      <c r="I324" s="12">
        <f t="shared" si="166"/>
        <v>0.48578199999999999</v>
      </c>
      <c r="J324" s="12">
        <f t="shared" si="166"/>
        <v>0.48608649999999998</v>
      </c>
      <c r="K324" s="12">
        <f t="shared" si="166"/>
        <v>0.48639100000000002</v>
      </c>
      <c r="L324" s="12">
        <f t="shared" si="166"/>
        <v>0.4866955</v>
      </c>
      <c r="M324" s="137">
        <v>0.48699999999999999</v>
      </c>
      <c r="N324" s="12">
        <f t="shared" si="166"/>
        <v>0.48730450000000003</v>
      </c>
      <c r="O324" s="164">
        <f t="shared" si="162"/>
        <v>0.48760900000000001</v>
      </c>
      <c r="P324" s="12">
        <f t="shared" si="162"/>
        <v>0.48791350000000006</v>
      </c>
      <c r="Q324" s="12">
        <f t="shared" si="162"/>
        <v>0.48821800000000004</v>
      </c>
      <c r="R324" s="132">
        <f t="shared" si="167"/>
        <v>0.48852250000000003</v>
      </c>
      <c r="S324" s="130"/>
      <c r="T324" s="11">
        <f t="shared" si="168"/>
        <v>0.48699999999999999</v>
      </c>
      <c r="U324" s="11">
        <f t="shared" si="163"/>
        <v>0.48852250000000003</v>
      </c>
      <c r="V324" s="90" t="s">
        <v>44</v>
      </c>
      <c r="W324" s="91">
        <f>INDEX(LINEST(T324:U324,(T$36:U$36)^{1}),1)</f>
        <v>3.0450000000000751E-4</v>
      </c>
      <c r="X324" s="91">
        <f>INDEX(LINEST(T324:U324,(T$36:U$36)^{1}),1,2)</f>
        <v>0.4866955</v>
      </c>
    </row>
    <row r="325" spans="1:25" x14ac:dyDescent="0.25">
      <c r="A325" s="83"/>
      <c r="B325" s="4">
        <v>70</v>
      </c>
      <c r="C325" s="5">
        <v>0.72</v>
      </c>
      <c r="D325" s="5">
        <f t="shared" si="164"/>
        <v>0.7</v>
      </c>
      <c r="E325" s="11">
        <f t="shared" si="165"/>
        <v>1.0992835209826</v>
      </c>
      <c r="F325" s="52">
        <f>M325/M325</f>
        <v>1</v>
      </c>
      <c r="G325" s="53">
        <f t="shared" si="166"/>
        <v>0.48847299999999994</v>
      </c>
      <c r="H325" s="53">
        <f t="shared" si="166"/>
        <v>0.48847749999999995</v>
      </c>
      <c r="I325" s="53">
        <f t="shared" si="166"/>
        <v>0.48848199999999997</v>
      </c>
      <c r="J325" s="53">
        <f t="shared" si="166"/>
        <v>0.48848649999999993</v>
      </c>
      <c r="K325" s="53">
        <f t="shared" si="166"/>
        <v>0.48849099999999995</v>
      </c>
      <c r="L325" s="53">
        <f t="shared" si="166"/>
        <v>0.48849549999999997</v>
      </c>
      <c r="M325" s="139">
        <v>0.48849999999999999</v>
      </c>
      <c r="N325" s="53">
        <f>($W325*N$36)+$X325</f>
        <v>0.48850450000000001</v>
      </c>
      <c r="O325" s="166">
        <f t="shared" si="162"/>
        <v>0.48850899999999997</v>
      </c>
      <c r="P325" s="53">
        <f t="shared" si="162"/>
        <v>0.48851349999999999</v>
      </c>
      <c r="Q325" s="53">
        <f t="shared" si="162"/>
        <v>0.48851800000000001</v>
      </c>
      <c r="R325" s="134">
        <f t="shared" si="167"/>
        <v>0.48852250000000003</v>
      </c>
      <c r="T325" s="11">
        <f>M325</f>
        <v>0.48849999999999999</v>
      </c>
      <c r="U325" s="11">
        <f>R325</f>
        <v>0.48852250000000003</v>
      </c>
      <c r="V325" s="90" t="s">
        <v>44</v>
      </c>
      <c r="W325" s="91">
        <f>INDEX(LINEST(T325:U325,(T$36:U$36)^{1}),1)</f>
        <v>4.5000000000072753E-6</v>
      </c>
      <c r="X325" s="91">
        <f>INDEX(LINEST(T325:U325,(T$36:U$36)^{1}),1,2)</f>
        <v>0.48849549999999997</v>
      </c>
    </row>
    <row r="326" spans="1:25" x14ac:dyDescent="0.25">
      <c r="A326" s="83"/>
      <c r="M326">
        <f>M325/M314</f>
        <v>1.8788461538461538</v>
      </c>
      <c r="T326" s="1"/>
      <c r="U326" s="1"/>
      <c r="V326" s="90"/>
    </row>
    <row r="327" spans="1:25" ht="15.75" x14ac:dyDescent="0.25">
      <c r="D327" s="20" t="s">
        <v>78</v>
      </c>
      <c r="M327" s="170">
        <f>M325/M320</f>
        <v>1.0415778251599148</v>
      </c>
      <c r="T327" s="189" t="s">
        <v>131</v>
      </c>
      <c r="U327" s="1"/>
      <c r="V327" s="90"/>
    </row>
    <row r="328" spans="1:25" ht="15.75" x14ac:dyDescent="0.25">
      <c r="D328" s="20" t="s">
        <v>99</v>
      </c>
      <c r="S328" s="189"/>
      <c r="T328" s="189" t="s">
        <v>132</v>
      </c>
      <c r="U328" s="1"/>
      <c r="V328" s="90"/>
    </row>
    <row r="329" spans="1:25" ht="16.5" thickBot="1" x14ac:dyDescent="0.3">
      <c r="D329" s="20" t="s">
        <v>100</v>
      </c>
      <c r="S329" s="189"/>
      <c r="T329" s="1"/>
    </row>
    <row r="330" spans="1:25" x14ac:dyDescent="0.25">
      <c r="D330" s="174" t="s">
        <v>126</v>
      </c>
      <c r="T330" s="1"/>
      <c r="V330" s="79" t="s">
        <v>136</v>
      </c>
      <c r="W330" s="81"/>
      <c r="X330" s="81"/>
      <c r="Y330" s="82"/>
    </row>
    <row r="331" spans="1:25" x14ac:dyDescent="0.25">
      <c r="T331" s="1"/>
      <c r="U331" s="7"/>
      <c r="V331" s="83"/>
      <c r="X331" s="1" t="s">
        <v>113</v>
      </c>
      <c r="Y331" s="84"/>
    </row>
    <row r="332" spans="1:25" x14ac:dyDescent="0.25">
      <c r="B332" s="188" t="s">
        <v>130</v>
      </c>
      <c r="H332" s="4" t="s">
        <v>9</v>
      </c>
      <c r="I332" s="190" t="s">
        <v>134</v>
      </c>
      <c r="J332" s="190"/>
      <c r="K332" s="190"/>
      <c r="L332" s="42"/>
      <c r="M332" s="42"/>
      <c r="N332" s="42"/>
      <c r="O332" s="42" t="s">
        <v>185</v>
      </c>
      <c r="P332" s="42" t="s">
        <v>182</v>
      </c>
      <c r="Q332" s="42" t="s">
        <v>183</v>
      </c>
      <c r="R332" s="222" t="s">
        <v>184</v>
      </c>
      <c r="T332" s="122" t="s">
        <v>133</v>
      </c>
      <c r="V332" s="195" t="s">
        <v>181</v>
      </c>
      <c r="W332">
        <f>0.5/0.7</f>
        <v>0.7142857142857143</v>
      </c>
      <c r="X332" s="1" t="s">
        <v>103</v>
      </c>
      <c r="Y332" s="191" t="s">
        <v>112</v>
      </c>
    </row>
    <row r="333" spans="1:25" x14ac:dyDescent="0.25">
      <c r="B333" s="174" t="s">
        <v>135</v>
      </c>
      <c r="H333" s="4">
        <v>1</v>
      </c>
      <c r="J333" s="63"/>
      <c r="K333" s="63"/>
      <c r="L333" s="63"/>
      <c r="M333" s="219">
        <f t="shared" ref="M333" si="169">(M314*$D$114*SQRT(4*$D$116*$B$120/32.2)/12)*$H333/2</f>
        <v>0.80468537411245966</v>
      </c>
      <c r="N333" s="219">
        <f t="shared" ref="N333:Q333" si="170">(N314*$D$114*SQRT(4*$D$116*$B$120/32.2)/12)*$H333/2</f>
        <v>0.94613823057831692</v>
      </c>
      <c r="O333" s="63">
        <f t="shared" si="170"/>
        <v>1.0875910870441743</v>
      </c>
      <c r="P333" s="63">
        <f t="shared" si="170"/>
        <v>1.2290439435100318</v>
      </c>
      <c r="Q333" s="63">
        <f t="shared" si="170"/>
        <v>1.370496799975889</v>
      </c>
      <c r="R333" s="63">
        <f t="shared" ref="R333" si="171">(R314*$D$114*SQRT(4*$D$116*$B$120/32.2)/12)*$H333/2</f>
        <v>1.5119496564417465</v>
      </c>
      <c r="T333" s="205">
        <f>'curve_rzeta_targetnu_add_2.5'!N333</f>
        <v>1.0677438407732609</v>
      </c>
      <c r="V333" s="83"/>
      <c r="W333" s="153">
        <f>X333*$W$332</f>
        <v>0.8571428571428571</v>
      </c>
      <c r="X333" s="149">
        <v>1.2</v>
      </c>
      <c r="Y333" s="192">
        <f>T333/W333</f>
        <v>1.2457011475688045</v>
      </c>
    </row>
    <row r="334" spans="1:25" x14ac:dyDescent="0.25">
      <c r="B334" s="174" t="s">
        <v>143</v>
      </c>
      <c r="H334" s="4">
        <v>2</v>
      </c>
      <c r="J334" s="58"/>
      <c r="K334" s="58"/>
      <c r="L334" s="58"/>
      <c r="M334" s="220">
        <f t="shared" ref="M334" si="172">(M315*$D$114*SQRT(4*$D$116*$B$120/32.2)/12)*$H334/2</f>
        <v>2.073612310212877</v>
      </c>
      <c r="N334" s="220">
        <f t="shared" ref="N334:Q334" si="173">(N315*$D$114*SQRT(4*$D$116*$B$120/32.2)/12)*$H334/2</f>
        <v>2.2636697107470001</v>
      </c>
      <c r="O334" s="58">
        <f t="shared" si="173"/>
        <v>2.4537271112811232</v>
      </c>
      <c r="P334" s="58">
        <f t="shared" si="173"/>
        <v>2.6437845118152468</v>
      </c>
      <c r="Q334" s="58">
        <f t="shared" si="173"/>
        <v>2.8338419123493694</v>
      </c>
      <c r="R334" s="58">
        <f t="shared" ref="R334" si="174">(R315*$D$114*SQRT(4*$D$116*$B$120/32.2)/12)*$H334/2</f>
        <v>3.023899312883493</v>
      </c>
      <c r="T334" s="11">
        <f>'curve_rzeta_targetnu_add_2.5'!N334</f>
        <v>0.73886706622201703</v>
      </c>
      <c r="U334" s="115"/>
      <c r="V334" s="83"/>
      <c r="W334" s="154">
        <f t="shared" ref="W334:W344" si="175">X334*$W$332</f>
        <v>0.6071428571428571</v>
      </c>
      <c r="X334" s="150">
        <v>0.85</v>
      </c>
      <c r="Y334" s="192">
        <f t="shared" ref="Y334:Y338" si="176">T334/W334</f>
        <v>1.2169575208362635</v>
      </c>
    </row>
    <row r="335" spans="1:25" x14ac:dyDescent="0.25">
      <c r="H335" s="4">
        <v>3</v>
      </c>
      <c r="J335" s="67"/>
      <c r="K335" s="67"/>
      <c r="L335" s="67"/>
      <c r="M335" s="221">
        <f t="shared" ref="M335" si="177">(M316*$D$114*SQRT(4*$D$116*$B$120/32.2)/12)*$H335/2</f>
        <v>3.4818117149096812</v>
      </c>
      <c r="N335" s="221">
        <f t="shared" ref="N335:Q335" si="178">(N316*$D$114*SQRT(4*$D$116*$B$120/32.2)/12)*$H335/2</f>
        <v>3.6926191657927916</v>
      </c>
      <c r="O335" s="67">
        <f t="shared" si="178"/>
        <v>3.9034266166759046</v>
      </c>
      <c r="P335" s="67">
        <f t="shared" si="178"/>
        <v>4.114234067559015</v>
      </c>
      <c r="Q335" s="67">
        <f t="shared" si="178"/>
        <v>4.3250415184421271</v>
      </c>
      <c r="R335" s="67">
        <f t="shared" ref="R335" si="179">(R316*$D$114*SQRT(4*$D$116*$B$120/32.2)/12)*$H335/2</f>
        <v>4.5358489693252393</v>
      </c>
      <c r="T335" s="205">
        <f>'curve_rzeta_targetnu_add_2.5'!N335</f>
        <v>0.64424111952215912</v>
      </c>
      <c r="U335" s="115"/>
      <c r="V335" s="83"/>
      <c r="W335" s="157">
        <f t="shared" si="175"/>
        <v>0.5357142857142857</v>
      </c>
      <c r="X335" s="158">
        <v>0.75</v>
      </c>
      <c r="Y335" s="192">
        <f t="shared" si="176"/>
        <v>1.2025834231080303</v>
      </c>
    </row>
    <row r="336" spans="1:25" x14ac:dyDescent="0.25">
      <c r="H336" s="4">
        <v>4</v>
      </c>
      <c r="J336" s="58"/>
      <c r="K336" s="58"/>
      <c r="L336" s="58"/>
      <c r="M336" s="220">
        <f t="shared" ref="M336" si="180">(M317*$D$114*SQRT(4*$D$116*$B$120/32.2)/12)*$H336/2</f>
        <v>4.9519099945382132</v>
      </c>
      <c r="N336" s="220">
        <f t="shared" ref="N336:Q336" si="181">(N317*$D$114*SQRT(4*$D$116*$B$120/32.2)/12)*$H336/2</f>
        <v>5.1710877207839685</v>
      </c>
      <c r="O336" s="58">
        <f t="shared" si="181"/>
        <v>5.3902654470297229</v>
      </c>
      <c r="P336" s="58">
        <f t="shared" si="181"/>
        <v>5.6094431732754773</v>
      </c>
      <c r="Q336" s="58">
        <f t="shared" si="181"/>
        <v>5.8286208995212325</v>
      </c>
      <c r="R336" s="58">
        <f t="shared" ref="R336" si="182">(R317*$D$114*SQRT(4*$D$116*$B$120/32.2)/12)*$H336/2</f>
        <v>6.047798625766986</v>
      </c>
      <c r="T336" s="11">
        <f>'curve_rzeta_targetnu_add_2.5'!N336</f>
        <v>0.60192802777797139</v>
      </c>
      <c r="U336" s="115"/>
      <c r="V336" s="83"/>
      <c r="W336" s="154">
        <f t="shared" si="175"/>
        <v>0.51428571428571423</v>
      </c>
      <c r="X336" s="150">
        <v>0.72</v>
      </c>
      <c r="Y336" s="192">
        <f t="shared" si="176"/>
        <v>1.1704156095682778</v>
      </c>
    </row>
    <row r="337" spans="8:25" x14ac:dyDescent="0.25">
      <c r="H337" s="4">
        <v>5</v>
      </c>
      <c r="J337" s="58"/>
      <c r="K337" s="58"/>
      <c r="L337" s="58"/>
      <c r="M337" s="220">
        <f t="shared" ref="M337" si="183">(M318*$D$114*SQRT(4*$D$116*$B$120/32.2)/12)*$H337/2</f>
        <v>6.4220082741667452</v>
      </c>
      <c r="N337" s="220">
        <f t="shared" ref="N337:Q337" si="184">(N318*$D$114*SQRT(4*$D$116*$B$120/32.2)/12)*$H337/2</f>
        <v>6.6495562757751427</v>
      </c>
      <c r="O337" s="58">
        <f t="shared" si="184"/>
        <v>6.8771042773835402</v>
      </c>
      <c r="P337" s="58">
        <f t="shared" si="184"/>
        <v>7.1046522789919377</v>
      </c>
      <c r="Q337" s="58">
        <f t="shared" si="184"/>
        <v>7.3322002806003352</v>
      </c>
      <c r="R337" s="58">
        <f t="shared" ref="R337" si="185">(R318*$D$114*SQRT(4*$D$116*$B$120/32.2)/12)*$H337/2</f>
        <v>7.5597482822087327</v>
      </c>
      <c r="T337" s="11">
        <f>'curve_rzeta_targetnu_add_2.5'!N337</f>
        <v>0.57654017273145874</v>
      </c>
      <c r="U337" s="115"/>
      <c r="V337" s="83"/>
      <c r="W337" s="154">
        <f t="shared" si="175"/>
        <v>0.50714285714285712</v>
      </c>
      <c r="X337" s="150">
        <v>0.71</v>
      </c>
      <c r="Y337" s="192">
        <f t="shared" si="176"/>
        <v>1.1368397772169609</v>
      </c>
    </row>
    <row r="338" spans="8:25" x14ac:dyDescent="0.25">
      <c r="H338" s="4">
        <v>10</v>
      </c>
      <c r="J338" s="67"/>
      <c r="K338" s="67"/>
      <c r="L338" s="67"/>
      <c r="M338" s="221">
        <f t="shared" ref="M338" si="186">(M319*$D$114*SQRT(4*$D$116*$B$120/32.2)/12)*$H338/2</f>
        <v>13.772499672309406</v>
      </c>
      <c r="N338" s="221">
        <f t="shared" ref="N338:Q338" si="187">(N319*$D$114*SQRT(4*$D$116*$B$120/32.2)/12)*$H338/2</f>
        <v>14.041899050731017</v>
      </c>
      <c r="O338" s="67">
        <f t="shared" si="187"/>
        <v>14.311298429152631</v>
      </c>
      <c r="P338" s="67">
        <f t="shared" si="187"/>
        <v>14.580697807574241</v>
      </c>
      <c r="Q338" s="67">
        <f t="shared" si="187"/>
        <v>14.850097185995851</v>
      </c>
      <c r="R338" s="67">
        <f t="shared" ref="R338" si="188">(R319*$D$114*SQRT(4*$D$116*$B$120/32.2)/12)*$H338/2</f>
        <v>15.119496564417465</v>
      </c>
      <c r="T338" s="205">
        <f>'curve_rzeta_targetnu_add_2.5'!N338</f>
        <v>0.52576446263843346</v>
      </c>
      <c r="U338" s="115"/>
      <c r="V338" s="83"/>
      <c r="W338" s="157">
        <f t="shared" si="175"/>
        <v>0.5</v>
      </c>
      <c r="X338" s="158">
        <v>0.7</v>
      </c>
      <c r="Y338" s="192">
        <f t="shared" si="176"/>
        <v>1.0515289252768669</v>
      </c>
    </row>
    <row r="339" spans="8:25" x14ac:dyDescent="0.25">
      <c r="H339" s="4">
        <v>20</v>
      </c>
      <c r="J339" s="58"/>
      <c r="K339" s="58"/>
      <c r="L339" s="58"/>
      <c r="M339" s="220">
        <f t="shared" ref="M339" si="189">(M320*$D$114*SQRT(4*$D$116*$B$120/32.2)/12)*$H339/2</f>
        <v>29.030572342980271</v>
      </c>
      <c r="N339" s="220">
        <f t="shared" ref="N339:Q339" si="190">(N320*$D$114*SQRT(4*$D$116*$B$120/32.2)/12)*$H339/2</f>
        <v>29.272256500151208</v>
      </c>
      <c r="O339" s="58">
        <f t="shared" si="190"/>
        <v>29.513940657322134</v>
      </c>
      <c r="P339" s="58">
        <f t="shared" si="190"/>
        <v>29.755624814493068</v>
      </c>
      <c r="Q339" s="58">
        <f t="shared" si="190"/>
        <v>29.997308971663998</v>
      </c>
      <c r="R339" s="58">
        <f t="shared" ref="R339" si="191">(R320*$D$114*SQRT(4*$D$116*$B$120/32.2)/12)*$H339/2</f>
        <v>30.238993128834931</v>
      </c>
      <c r="T339" s="11">
        <f>'curve_rzeta_targetnu_add_2.5'!N339</f>
        <v>0.50937639448225469</v>
      </c>
      <c r="U339" s="115"/>
      <c r="V339" s="83"/>
      <c r="W339" s="154">
        <f t="shared" si="175"/>
        <v>0.5</v>
      </c>
      <c r="X339" s="150">
        <v>0.7</v>
      </c>
      <c r="Y339" s="84"/>
    </row>
    <row r="340" spans="8:25" x14ac:dyDescent="0.25">
      <c r="H340" s="4">
        <v>30</v>
      </c>
      <c r="J340" s="58"/>
      <c r="K340" s="58"/>
      <c r="L340" s="58"/>
      <c r="M340" s="220">
        <f t="shared" ref="M340" si="192">(M321*$D$114*SQRT(4*$D$116*$B$120/32.2)/12)*$H340/2</f>
        <v>44.335069169849938</v>
      </c>
      <c r="N340" s="220">
        <f t="shared" ref="N340:Q340" si="193">(N321*$D$114*SQRT(4*$D$116*$B$120/32.2)/12)*$H340/2</f>
        <v>44.539753274530426</v>
      </c>
      <c r="O340" s="58">
        <f t="shared" si="193"/>
        <v>44.744437379210922</v>
      </c>
      <c r="P340" s="58">
        <f t="shared" si="193"/>
        <v>44.94912148389141</v>
      </c>
      <c r="Q340" s="58">
        <f t="shared" si="193"/>
        <v>45.153805588571899</v>
      </c>
      <c r="R340" s="58">
        <f t="shared" ref="R340" si="194">(R321*$D$114*SQRT(4*$D$116*$B$120/32.2)/12)*$H340/2</f>
        <v>45.358489693252395</v>
      </c>
      <c r="T340" s="11">
        <f>'curve_rzeta_targetnu_add_2.5'!N340</f>
        <v>0.50441369325743601</v>
      </c>
      <c r="U340" s="115"/>
      <c r="V340" s="83"/>
      <c r="W340" s="154">
        <f t="shared" si="175"/>
        <v>0.5</v>
      </c>
      <c r="X340" s="150">
        <v>0.7</v>
      </c>
      <c r="Y340" s="84"/>
    </row>
    <row r="341" spans="8:25" x14ac:dyDescent="0.25">
      <c r="H341" s="4">
        <v>40</v>
      </c>
      <c r="J341" s="58"/>
      <c r="K341" s="58"/>
      <c r="L341" s="58"/>
      <c r="M341" s="220">
        <f t="shared" ref="M341" si="195">(M322*$D$114*SQRT(4*$D$116*$B$120/32.2)/12)*$H341/2</f>
        <v>59.918110933912374</v>
      </c>
      <c r="N341" s="220">
        <f t="shared" ref="N341:Q341" si="196">(N322*$D$114*SQRT(4*$D$116*$B$120/32.2)/12)*$H341/2</f>
        <v>60.030085998663871</v>
      </c>
      <c r="O341" s="58">
        <f t="shared" si="196"/>
        <v>60.142061063415369</v>
      </c>
      <c r="P341" s="58">
        <f t="shared" si="196"/>
        <v>60.254036128166852</v>
      </c>
      <c r="Q341" s="58">
        <f t="shared" si="196"/>
        <v>60.366011192918371</v>
      </c>
      <c r="R341" s="58">
        <f t="shared" ref="R341" si="197">(R322*$D$114*SQRT(4*$D$116*$B$120/32.2)/12)*$H341/2</f>
        <v>60.477986257669862</v>
      </c>
      <c r="T341" s="11">
        <f>'curve_rzeta_targetnu_add_2.5'!N341</f>
        <v>0.50418228936761011</v>
      </c>
      <c r="U341" s="115"/>
      <c r="V341" s="83"/>
      <c r="W341" s="154">
        <f t="shared" si="175"/>
        <v>0.5</v>
      </c>
      <c r="X341" s="150">
        <v>0.7</v>
      </c>
      <c r="Y341" s="84"/>
    </row>
    <row r="342" spans="8:25" x14ac:dyDescent="0.25">
      <c r="H342" s="4">
        <v>50</v>
      </c>
      <c r="J342" s="58"/>
      <c r="K342" s="58"/>
      <c r="L342" s="58"/>
      <c r="M342" s="220">
        <f t="shared" ref="M342" si="198">(M323*$D$114*SQRT(4*$D$116*$B$120/32.2)/12)*$H342/2</f>
        <v>75.129759448384448</v>
      </c>
      <c r="N342" s="220">
        <f t="shared" ref="N342:Q342" si="199">(N323*$D$114*SQRT(4*$D$116*$B$120/32.2)/12)*$H342/2</f>
        <v>75.223304123125018</v>
      </c>
      <c r="O342" s="58">
        <f t="shared" si="199"/>
        <v>75.316848797865589</v>
      </c>
      <c r="P342" s="58">
        <f t="shared" si="199"/>
        <v>75.41039347260616</v>
      </c>
      <c r="Q342" s="58">
        <f t="shared" si="199"/>
        <v>75.503938147346744</v>
      </c>
      <c r="R342" s="58">
        <f t="shared" ref="R342" si="200">(R323*$D$114*SQRT(4*$D$116*$B$120/32.2)/12)*$H342/2</f>
        <v>75.597482822087329</v>
      </c>
      <c r="T342" s="11">
        <f>'curve_rzeta_targetnu_add_2.5'!N342</f>
        <v>0.50164350386295875</v>
      </c>
      <c r="V342" s="83"/>
      <c r="W342" s="154">
        <f t="shared" si="175"/>
        <v>0.5</v>
      </c>
      <c r="X342" s="150">
        <v>0.7</v>
      </c>
      <c r="Y342" s="84"/>
    </row>
    <row r="343" spans="8:25" x14ac:dyDescent="0.25">
      <c r="H343" s="4">
        <v>60</v>
      </c>
      <c r="J343" s="58"/>
      <c r="K343" s="58"/>
      <c r="L343" s="58"/>
      <c r="M343" s="220">
        <f t="shared" ref="M343" si="201">(M324*$D$114*SQRT(4*$D$116*$B$120/32.2)/12)*$H343/2</f>
        <v>90.434256275254114</v>
      </c>
      <c r="N343" s="220">
        <f t="shared" ref="N343:Q343" si="202">(N324*$D$114*SQRT(4*$D$116*$B$120/32.2)/12)*$H343/2</f>
        <v>90.490800897504258</v>
      </c>
      <c r="O343" s="58">
        <f t="shared" si="202"/>
        <v>90.547345519754387</v>
      </c>
      <c r="P343" s="58">
        <f t="shared" si="202"/>
        <v>90.603890142004531</v>
      </c>
      <c r="Q343" s="58">
        <f t="shared" si="202"/>
        <v>90.660434764254674</v>
      </c>
      <c r="R343" s="58">
        <f t="shared" ref="R343" si="203">(R324*$D$114*SQRT(4*$D$116*$B$120/32.2)/12)*$H343/2</f>
        <v>90.716979386504789</v>
      </c>
      <c r="T343" s="11">
        <f>'curve_rzeta_targetnu_add_2.5'!N343</f>
        <v>0.50045096835376535</v>
      </c>
      <c r="V343" s="83"/>
      <c r="W343" s="154">
        <f t="shared" si="175"/>
        <v>0.5</v>
      </c>
      <c r="X343" s="150">
        <v>0.7</v>
      </c>
      <c r="Y343" s="84"/>
    </row>
    <row r="344" spans="8:25" ht="15.75" thickBot="1" x14ac:dyDescent="0.3">
      <c r="H344" s="4">
        <v>70</v>
      </c>
      <c r="J344" s="67"/>
      <c r="K344" s="67"/>
      <c r="L344" s="67"/>
      <c r="M344" s="221">
        <f t="shared" ref="M344" si="204">(M325*$D$114*SQRT(4*$D$116*$B$120/32.2)/12)*$H344/2</f>
        <v>105.83160141452136</v>
      </c>
      <c r="N344" s="221">
        <f t="shared" ref="N344:Q344" si="205">(N325*$D$114*SQRT(4*$D$116*$B$120/32.2)/12)*$H344/2</f>
        <v>105.83257632180155</v>
      </c>
      <c r="O344" s="67">
        <f t="shared" si="205"/>
        <v>105.83355122908172</v>
      </c>
      <c r="P344" s="67">
        <f t="shared" si="205"/>
        <v>105.83452613636189</v>
      </c>
      <c r="Q344" s="67">
        <f t="shared" si="205"/>
        <v>105.83550104364207</v>
      </c>
      <c r="R344" s="67">
        <f t="shared" ref="R344" si="206">(R325*$D$114*SQRT(4*$D$116*$B$120/32.2)/12)*$H344/2</f>
        <v>105.83647595092225</v>
      </c>
      <c r="T344" s="11">
        <f>'curve_rzeta_targetnu_add_2.5'!N344</f>
        <v>0.50002771855626216</v>
      </c>
      <c r="V344" s="93"/>
      <c r="W344" s="193">
        <f t="shared" si="175"/>
        <v>0.5</v>
      </c>
      <c r="X344" s="194">
        <v>0.7</v>
      </c>
      <c r="Y344" s="97"/>
    </row>
    <row r="345" spans="8:25" x14ac:dyDescent="0.25">
      <c r="M345" s="114"/>
      <c r="S345" t="s">
        <v>137</v>
      </c>
    </row>
    <row r="346" spans="8:25" x14ac:dyDescent="0.25">
      <c r="O346" s="61">
        <f>14.3/15.1</f>
        <v>0.94701986754966894</v>
      </c>
    </row>
  </sheetData>
  <pageMargins left="0.7" right="0.7" top="0.75" bottom="0.75" header="0.3" footer="0.3"/>
  <pageSetup scale="9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transitionEntry="1"/>
  <dimension ref="A2:Y350"/>
  <sheetViews>
    <sheetView showGridLines="0" zoomScale="90" zoomScaleNormal="90" workbookViewId="0"/>
  </sheetViews>
  <sheetFormatPr defaultRowHeight="15" x14ac:dyDescent="0.25"/>
  <cols>
    <col min="1" max="6" width="9.28515625" customWidth="1"/>
    <col min="7" max="7" width="10.85546875" customWidth="1"/>
    <col min="8" max="8" width="9.28515625" customWidth="1"/>
    <col min="9" max="9" width="10.140625" customWidth="1"/>
    <col min="10" max="31" width="9.28515625" customWidth="1"/>
  </cols>
  <sheetData>
    <row r="2" spans="1:11" ht="15.75" x14ac:dyDescent="0.25">
      <c r="A2" t="s">
        <v>0</v>
      </c>
      <c r="B2" t="s">
        <v>46</v>
      </c>
      <c r="K2" s="189" t="s">
        <v>131</v>
      </c>
    </row>
    <row r="3" spans="1:11" ht="15.75" x14ac:dyDescent="0.25">
      <c r="A3" t="s">
        <v>1</v>
      </c>
      <c r="K3" s="189" t="s">
        <v>132</v>
      </c>
    </row>
    <row r="4" spans="1:11" x14ac:dyDescent="0.25">
      <c r="A4" t="s">
        <v>2</v>
      </c>
    </row>
    <row r="6" spans="1:11" x14ac:dyDescent="0.25">
      <c r="B6" s="2" t="s">
        <v>3</v>
      </c>
      <c r="C6" t="s">
        <v>5</v>
      </c>
    </row>
    <row r="7" spans="1:11" x14ac:dyDescent="0.25">
      <c r="B7" s="2" t="s">
        <v>21</v>
      </c>
      <c r="C7" t="s">
        <v>6</v>
      </c>
    </row>
    <row r="8" spans="1:11" x14ac:dyDescent="0.25">
      <c r="B8" s="2" t="s">
        <v>4</v>
      </c>
      <c r="C8" t="s">
        <v>7</v>
      </c>
    </row>
    <row r="9" spans="1:11" x14ac:dyDescent="0.25">
      <c r="B9" s="2"/>
    </row>
    <row r="10" spans="1:11" x14ac:dyDescent="0.25">
      <c r="B10" s="2"/>
    </row>
    <row r="11" spans="1:11" x14ac:dyDescent="0.25">
      <c r="B11" s="2"/>
    </row>
    <row r="12" spans="1:11" x14ac:dyDescent="0.25">
      <c r="B12" s="2"/>
    </row>
    <row r="13" spans="1:11" x14ac:dyDescent="0.25">
      <c r="B13" s="2"/>
    </row>
    <row r="14" spans="1:11" x14ac:dyDescent="0.25">
      <c r="B14" s="2"/>
    </row>
    <row r="15" spans="1:11" x14ac:dyDescent="0.25">
      <c r="B15" s="2"/>
    </row>
    <row r="16" spans="1:11" x14ac:dyDescent="0.25">
      <c r="B16" s="2"/>
    </row>
    <row r="17" spans="1:2" x14ac:dyDescent="0.25">
      <c r="B17" s="2"/>
    </row>
    <row r="18" spans="1:2" x14ac:dyDescent="0.25">
      <c r="A18" t="s">
        <v>141</v>
      </c>
      <c r="B18" s="2"/>
    </row>
    <row r="19" spans="1:2" x14ac:dyDescent="0.25">
      <c r="B19" s="2"/>
    </row>
    <row r="20" spans="1:2" x14ac:dyDescent="0.25">
      <c r="B20" s="2"/>
    </row>
    <row r="21" spans="1:2" x14ac:dyDescent="0.25">
      <c r="B21" s="2"/>
    </row>
    <row r="22" spans="1:2" x14ac:dyDescent="0.25">
      <c r="B22" s="2"/>
    </row>
    <row r="23" spans="1:2" x14ac:dyDescent="0.25">
      <c r="B23" s="2"/>
    </row>
    <row r="24" spans="1:2" x14ac:dyDescent="0.25">
      <c r="B24" s="2"/>
    </row>
    <row r="25" spans="1:2" x14ac:dyDescent="0.25">
      <c r="B25" s="2"/>
    </row>
    <row r="26" spans="1:2" x14ac:dyDescent="0.25">
      <c r="B26" s="2"/>
    </row>
    <row r="27" spans="1:2" x14ac:dyDescent="0.25">
      <c r="B27" s="2"/>
    </row>
    <row r="28" spans="1:2" x14ac:dyDescent="0.25">
      <c r="B28" s="2"/>
    </row>
    <row r="29" spans="1:2" x14ac:dyDescent="0.25">
      <c r="B29" s="2"/>
    </row>
    <row r="30" spans="1:2" x14ac:dyDescent="0.25">
      <c r="A30" t="s">
        <v>141</v>
      </c>
      <c r="B30" s="2"/>
    </row>
    <row r="31" spans="1:2" x14ac:dyDescent="0.25">
      <c r="B31" s="2"/>
    </row>
    <row r="32" spans="1:2" x14ac:dyDescent="0.25">
      <c r="B32" s="2"/>
    </row>
    <row r="33" spans="1:25" x14ac:dyDescent="0.25">
      <c r="B33" s="2"/>
    </row>
    <row r="34" spans="1:25" x14ac:dyDescent="0.25">
      <c r="B34" s="2"/>
    </row>
    <row r="35" spans="1:25" x14ac:dyDescent="0.25">
      <c r="B35" s="2"/>
    </row>
    <row r="36" spans="1:25" x14ac:dyDescent="0.25">
      <c r="B36" s="2"/>
    </row>
    <row r="37" spans="1:25" x14ac:dyDescent="0.25">
      <c r="B37" s="2"/>
    </row>
    <row r="38" spans="1:25" x14ac:dyDescent="0.25">
      <c r="B38" s="2"/>
    </row>
    <row r="39" spans="1:25" x14ac:dyDescent="0.25">
      <c r="B39" s="2"/>
    </row>
    <row r="40" spans="1:25" x14ac:dyDescent="0.25">
      <c r="B40" s="2"/>
    </row>
    <row r="41" spans="1:25" x14ac:dyDescent="0.25">
      <c r="B41" s="2"/>
    </row>
    <row r="42" spans="1:25" x14ac:dyDescent="0.25">
      <c r="B42" s="2"/>
    </row>
    <row r="43" spans="1:25" x14ac:dyDescent="0.25">
      <c r="B43" s="2"/>
    </row>
    <row r="44" spans="1:25" x14ac:dyDescent="0.25">
      <c r="B44" s="2"/>
    </row>
    <row r="45" spans="1:25" x14ac:dyDescent="0.25">
      <c r="B45" s="2"/>
    </row>
    <row r="46" spans="1:25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5" ht="15.75" x14ac:dyDescent="0.25">
      <c r="B47" t="s">
        <v>46</v>
      </c>
      <c r="K47" s="189" t="s">
        <v>131</v>
      </c>
    </row>
    <row r="48" spans="1:25" ht="15.75" x14ac:dyDescent="0.25">
      <c r="B48" t="s">
        <v>47</v>
      </c>
      <c r="K48" s="189" t="s">
        <v>132</v>
      </c>
    </row>
    <row r="51" spans="3:23" x14ac:dyDescent="0.25">
      <c r="D51" s="198">
        <f>D106</f>
        <v>0.9</v>
      </c>
      <c r="E51" t="s">
        <v>55</v>
      </c>
    </row>
    <row r="52" spans="3:23" x14ac:dyDescent="0.25">
      <c r="D52" s="198">
        <f t="shared" ref="D52:D53" si="0">D107</f>
        <v>0.96</v>
      </c>
      <c r="E52" t="s">
        <v>54</v>
      </c>
    </row>
    <row r="53" spans="3:23" x14ac:dyDescent="0.25">
      <c r="D53" s="198">
        <f t="shared" si="0"/>
        <v>85</v>
      </c>
      <c r="E53" t="s">
        <v>53</v>
      </c>
    </row>
    <row r="54" spans="3:23" x14ac:dyDescent="0.25">
      <c r="D54" s="77" t="s">
        <v>144</v>
      </c>
      <c r="E54" s="20" t="s">
        <v>69</v>
      </c>
    </row>
    <row r="55" spans="3:23" x14ac:dyDescent="0.25">
      <c r="E55" s="20" t="s">
        <v>71</v>
      </c>
      <c r="W55">
        <v>0.86450000000000005</v>
      </c>
    </row>
    <row r="56" spans="3:23" x14ac:dyDescent="0.25">
      <c r="C56" s="4"/>
      <c r="D56" s="4" t="s">
        <v>48</v>
      </c>
      <c r="E56" s="4" t="s">
        <v>49</v>
      </c>
      <c r="F56" s="4" t="s">
        <v>56</v>
      </c>
      <c r="G56" s="60" t="s">
        <v>10</v>
      </c>
      <c r="H56" s="4" t="s">
        <v>50</v>
      </c>
      <c r="J56" s="4" t="s">
        <v>51</v>
      </c>
      <c r="K56" s="4" t="s">
        <v>48</v>
      </c>
      <c r="L56" s="4" t="s">
        <v>49</v>
      </c>
      <c r="M56" s="4" t="s">
        <v>56</v>
      </c>
      <c r="N56" s="60" t="s">
        <v>10</v>
      </c>
      <c r="O56" s="4" t="s">
        <v>50</v>
      </c>
      <c r="S56">
        <v>65</v>
      </c>
      <c r="T56">
        <v>2245</v>
      </c>
      <c r="V56">
        <v>893</v>
      </c>
      <c r="W56">
        <f>V56*W55</f>
        <v>771.99850000000004</v>
      </c>
    </row>
    <row r="57" spans="3:23" x14ac:dyDescent="0.25">
      <c r="C57" s="4" t="s">
        <v>9</v>
      </c>
      <c r="D57" s="4" t="s">
        <v>52</v>
      </c>
      <c r="E57" s="4" t="s">
        <v>52</v>
      </c>
      <c r="F57" s="4" t="s">
        <v>57</v>
      </c>
      <c r="G57" s="4"/>
      <c r="H57" s="4"/>
      <c r="J57" s="56">
        <v>2.5</v>
      </c>
      <c r="K57" s="4" t="s">
        <v>52</v>
      </c>
      <c r="L57" s="4" t="s">
        <v>52</v>
      </c>
      <c r="M57" s="4" t="s">
        <v>57</v>
      </c>
      <c r="N57" s="4"/>
      <c r="O57" s="4"/>
      <c r="S57">
        <v>-15</v>
      </c>
      <c r="T57">
        <v>-28</v>
      </c>
      <c r="V57">
        <v>980</v>
      </c>
      <c r="W57">
        <f>V57*W55</f>
        <v>847.21</v>
      </c>
    </row>
    <row r="58" spans="3:23" x14ac:dyDescent="0.25">
      <c r="C58" s="4">
        <v>1</v>
      </c>
      <c r="D58" s="62">
        <v>2.8</v>
      </c>
      <c r="E58" s="199">
        <f>'curve_rzeta_targetnu_2.5'!M58</f>
        <v>1.3524904172582495</v>
      </c>
      <c r="F58" s="63">
        <f>(E58*2)/C58</f>
        <v>2.704980834516499</v>
      </c>
      <c r="G58" s="119">
        <f t="shared" ref="G58:G69" si="1">SQRT(12*32.2*F58^2/(4*$D$108*($D$107*56)*$D$106^2))</f>
        <v>0.43698965234177534</v>
      </c>
      <c r="H58" s="65">
        <f>E58/D58</f>
        <v>0.48303229187794627</v>
      </c>
      <c r="J58" s="1"/>
      <c r="K58" s="71">
        <f>D58+$J$57</f>
        <v>5.3</v>
      </c>
      <c r="L58" s="63">
        <f>E58+$J$57</f>
        <v>3.8524904172582497</v>
      </c>
      <c r="M58" s="63">
        <f>(L58*2)/C58</f>
        <v>7.7049808345164994</v>
      </c>
      <c r="N58" s="119">
        <f t="shared" ref="N58:N69" si="2">SQRT(12*32.2*M58^2/(4*$D$108*($D$107*56)*$D$106^2))</f>
        <v>1.2447396496164973</v>
      </c>
      <c r="O58" s="65">
        <f t="shared" ref="O58:O69" si="3">L58/K58</f>
        <v>0.72688498438834903</v>
      </c>
      <c r="S58">
        <f>SUM(S56:S57)</f>
        <v>50</v>
      </c>
      <c r="T58">
        <f>SUM(T56:T57)</f>
        <v>2217</v>
      </c>
    </row>
    <row r="59" spans="3:23" x14ac:dyDescent="0.25">
      <c r="C59" s="4">
        <v>2</v>
      </c>
      <c r="D59" s="37">
        <v>3.8</v>
      </c>
      <c r="E59" s="199">
        <f>'curve_rzeta_targetnu_2.5'!M59</f>
        <v>2.9711459967229277</v>
      </c>
      <c r="F59" s="58">
        <f t="shared" ref="F59:F69" si="4">(E59*2)/C59</f>
        <v>2.9711459967229277</v>
      </c>
      <c r="G59" s="120">
        <f t="shared" si="1"/>
        <v>0.47998863415114912</v>
      </c>
      <c r="H59" s="57">
        <f t="shared" ref="H59:H69" si="5">E59/D59</f>
        <v>0.78188052545340203</v>
      </c>
      <c r="J59" s="1"/>
      <c r="K59" s="61">
        <f t="shared" ref="K59:K69" si="6">D59+$J$57</f>
        <v>6.3</v>
      </c>
      <c r="L59" s="58">
        <f t="shared" ref="L59:L69" si="7">E59+$J$57</f>
        <v>5.4711459967229281</v>
      </c>
      <c r="M59" s="58">
        <f t="shared" ref="M59:M69" si="8">(L59*2)/C59</f>
        <v>5.4711459967229281</v>
      </c>
      <c r="N59" s="120">
        <f t="shared" si="2"/>
        <v>0.8838636327885101</v>
      </c>
      <c r="O59" s="57">
        <f t="shared" si="3"/>
        <v>0.86843587249570287</v>
      </c>
    </row>
    <row r="60" spans="3:23" x14ac:dyDescent="0.25">
      <c r="C60" s="4">
        <v>3</v>
      </c>
      <c r="D60" s="66">
        <v>4.8</v>
      </c>
      <c r="E60" s="199">
        <f>'curve_rzeta_targetnu_2.5'!M60</f>
        <v>4.8373970759145175</v>
      </c>
      <c r="F60" s="67">
        <f t="shared" si="4"/>
        <v>3.2249313839430118</v>
      </c>
      <c r="G60" s="121">
        <f t="shared" si="1"/>
        <v>0.52098766331822655</v>
      </c>
      <c r="H60" s="69">
        <f t="shared" si="5"/>
        <v>1.0077910574821911</v>
      </c>
      <c r="J60" s="1"/>
      <c r="K60" s="72">
        <f t="shared" si="6"/>
        <v>7.3</v>
      </c>
      <c r="L60" s="67">
        <f t="shared" si="7"/>
        <v>7.3373970759145175</v>
      </c>
      <c r="M60" s="67">
        <f t="shared" si="8"/>
        <v>4.8915980506096783</v>
      </c>
      <c r="N60" s="121">
        <f t="shared" si="2"/>
        <v>0.79023766240980053</v>
      </c>
      <c r="O60" s="69">
        <f t="shared" si="3"/>
        <v>1.0051228871115778</v>
      </c>
    </row>
    <row r="61" spans="3:23" x14ac:dyDescent="0.25">
      <c r="C61" s="4">
        <v>4</v>
      </c>
      <c r="D61" s="37">
        <v>5.7</v>
      </c>
      <c r="E61" s="199">
        <f>'curve_rzeta_targetnu_2.5'!M61</f>
        <v>6.8831548924081174</v>
      </c>
      <c r="F61" s="58">
        <f t="shared" si="4"/>
        <v>3.4415774462040587</v>
      </c>
      <c r="G61" s="120">
        <f t="shared" si="1"/>
        <v>0.55598683455841447</v>
      </c>
      <c r="H61" s="57">
        <f t="shared" si="5"/>
        <v>1.2075710337558101</v>
      </c>
      <c r="J61" s="1"/>
      <c r="K61" s="61">
        <f t="shared" si="6"/>
        <v>8.1999999999999993</v>
      </c>
      <c r="L61" s="58">
        <f t="shared" si="7"/>
        <v>9.3831548924081183</v>
      </c>
      <c r="M61" s="58">
        <f t="shared" si="8"/>
        <v>4.6915774462040591</v>
      </c>
      <c r="N61" s="120">
        <f t="shared" si="2"/>
        <v>0.75792433387709501</v>
      </c>
      <c r="O61" s="57">
        <f t="shared" si="3"/>
        <v>1.1442871820009901</v>
      </c>
    </row>
    <row r="62" spans="3:23" x14ac:dyDescent="0.25">
      <c r="C62" s="4">
        <v>5</v>
      </c>
      <c r="D62" s="37">
        <v>6.5</v>
      </c>
      <c r="E62" s="199">
        <f>'curve_rzeta_targetnu_2.5'!M62</f>
        <v>9.052710458765171</v>
      </c>
      <c r="F62" s="58">
        <f t="shared" si="4"/>
        <v>3.6210841835060683</v>
      </c>
      <c r="G62" s="120">
        <f t="shared" si="1"/>
        <v>0.58498614787171299</v>
      </c>
      <c r="H62" s="57">
        <f t="shared" si="5"/>
        <v>1.3927246859638724</v>
      </c>
      <c r="J62" s="1"/>
      <c r="K62" s="61">
        <f t="shared" si="6"/>
        <v>9</v>
      </c>
      <c r="L62" s="58">
        <f t="shared" si="7"/>
        <v>11.552710458765171</v>
      </c>
      <c r="M62" s="58">
        <f t="shared" si="8"/>
        <v>4.6210841835060688</v>
      </c>
      <c r="N62" s="120">
        <f t="shared" si="2"/>
        <v>0.74653614732665752</v>
      </c>
      <c r="O62" s="57">
        <f t="shared" si="3"/>
        <v>1.2836344954183523</v>
      </c>
    </row>
    <row r="63" spans="3:23" x14ac:dyDescent="0.25">
      <c r="C63" s="4">
        <v>10</v>
      </c>
      <c r="D63" s="66">
        <v>9.1</v>
      </c>
      <c r="E63" s="199">
        <f>'curve_rzeta_targetnu_2.5'!M63</f>
        <v>19.343398416164892</v>
      </c>
      <c r="F63" s="67">
        <f t="shared" si="4"/>
        <v>3.8686796832329784</v>
      </c>
      <c r="G63" s="121">
        <f t="shared" si="1"/>
        <v>0.62498520071764196</v>
      </c>
      <c r="H63" s="69">
        <f t="shared" si="5"/>
        <v>2.1256481776005378</v>
      </c>
      <c r="J63" s="1"/>
      <c r="K63" s="72">
        <f t="shared" si="6"/>
        <v>11.6</v>
      </c>
      <c r="L63" s="67">
        <f t="shared" si="7"/>
        <v>21.843398416164892</v>
      </c>
      <c r="M63" s="67">
        <f t="shared" si="8"/>
        <v>4.368679683232978</v>
      </c>
      <c r="N63" s="121">
        <f t="shared" si="2"/>
        <v>0.70576020044511412</v>
      </c>
      <c r="O63" s="69">
        <f t="shared" si="3"/>
        <v>1.8830515876004217</v>
      </c>
    </row>
    <row r="64" spans="3:23" x14ac:dyDescent="0.25">
      <c r="C64" s="4">
        <v>20</v>
      </c>
      <c r="D64" s="37">
        <v>13.3</v>
      </c>
      <c r="E64" s="199">
        <f>'curve_rzeta_targetnu_2.5'!M64</f>
        <v>40.234268705622981</v>
      </c>
      <c r="F64" s="58">
        <f t="shared" si="4"/>
        <v>4.0234268705622984</v>
      </c>
      <c r="G64" s="120">
        <f t="shared" si="1"/>
        <v>0.64998460874634778</v>
      </c>
      <c r="H64" s="57">
        <f t="shared" si="5"/>
        <v>3.0251329853851865</v>
      </c>
      <c r="J64" s="1"/>
      <c r="K64" s="61">
        <f t="shared" si="6"/>
        <v>15.8</v>
      </c>
      <c r="L64" s="58">
        <f t="shared" si="7"/>
        <v>42.734268705622981</v>
      </c>
      <c r="M64" s="58">
        <f t="shared" si="8"/>
        <v>4.2734268705622984</v>
      </c>
      <c r="N64" s="120">
        <f t="shared" si="2"/>
        <v>0.69037210861008391</v>
      </c>
      <c r="O64" s="57">
        <f t="shared" si="3"/>
        <v>2.7047005509887962</v>
      </c>
    </row>
    <row r="65" spans="1:15" x14ac:dyDescent="0.25">
      <c r="C65" s="4">
        <v>30</v>
      </c>
      <c r="D65" s="37">
        <v>17.7</v>
      </c>
      <c r="E65" s="199">
        <f>'curve_rzeta_targetnu_2.5'!M65</f>
        <v>61.279886182410387</v>
      </c>
      <c r="F65" s="58">
        <f t="shared" si="4"/>
        <v>4.0853257454940257</v>
      </c>
      <c r="G65" s="120">
        <f t="shared" si="1"/>
        <v>0.65998437195783011</v>
      </c>
      <c r="H65" s="57">
        <f t="shared" si="5"/>
        <v>3.4621404622830729</v>
      </c>
      <c r="J65" s="1"/>
      <c r="K65" s="61">
        <f t="shared" si="6"/>
        <v>20.2</v>
      </c>
      <c r="L65" s="58">
        <f t="shared" si="7"/>
        <v>63.779886182410387</v>
      </c>
      <c r="M65" s="58">
        <f t="shared" si="8"/>
        <v>4.2519924121606927</v>
      </c>
      <c r="N65" s="120">
        <f t="shared" si="2"/>
        <v>0.68690937186698753</v>
      </c>
      <c r="O65" s="57">
        <f t="shared" si="3"/>
        <v>3.1574201080401183</v>
      </c>
    </row>
    <row r="66" spans="1:15" x14ac:dyDescent="0.25">
      <c r="C66" s="4">
        <v>40</v>
      </c>
      <c r="D66" s="37">
        <v>22.1</v>
      </c>
      <c r="E66" s="199">
        <f>'curve_rzeta_targetnu_2.5'!M66</f>
        <v>82.944492408515075</v>
      </c>
      <c r="F66" s="58">
        <f t="shared" si="4"/>
        <v>4.1472246204257539</v>
      </c>
      <c r="G66" s="120">
        <f t="shared" si="1"/>
        <v>0.66998413516931232</v>
      </c>
      <c r="H66" s="57">
        <f t="shared" si="5"/>
        <v>3.7531444528739852</v>
      </c>
      <c r="J66" s="1"/>
      <c r="K66" s="61">
        <f t="shared" si="6"/>
        <v>24.6</v>
      </c>
      <c r="L66" s="58">
        <f t="shared" si="7"/>
        <v>85.444492408515075</v>
      </c>
      <c r="M66" s="58">
        <f t="shared" si="8"/>
        <v>4.2722246204257539</v>
      </c>
      <c r="N66" s="120">
        <f t="shared" si="2"/>
        <v>0.69017788510118039</v>
      </c>
      <c r="O66" s="57">
        <f t="shared" si="3"/>
        <v>3.4733533499396372</v>
      </c>
    </row>
    <row r="67" spans="1:15" x14ac:dyDescent="0.25">
      <c r="C67" s="4">
        <v>50</v>
      </c>
      <c r="D67" s="37">
        <v>26.5</v>
      </c>
      <c r="E67" s="199">
        <f>'curve_rzeta_targetnu_2.5'!M67</f>
        <v>105.22808738393705</v>
      </c>
      <c r="F67" s="58">
        <f t="shared" si="4"/>
        <v>4.2091234953574821</v>
      </c>
      <c r="G67" s="120">
        <f t="shared" si="1"/>
        <v>0.67998389838079476</v>
      </c>
      <c r="H67" s="57">
        <f t="shared" si="5"/>
        <v>3.9708712220353606</v>
      </c>
      <c r="J67" s="1"/>
      <c r="K67" s="61">
        <f t="shared" si="6"/>
        <v>29</v>
      </c>
      <c r="L67" s="58">
        <f t="shared" si="7"/>
        <v>107.72808738393705</v>
      </c>
      <c r="M67" s="58">
        <f t="shared" si="8"/>
        <v>4.3091234953574817</v>
      </c>
      <c r="N67" s="120">
        <f t="shared" si="2"/>
        <v>0.69613889832628906</v>
      </c>
      <c r="O67" s="57">
        <f t="shared" si="3"/>
        <v>3.7147616339288638</v>
      </c>
    </row>
    <row r="68" spans="1:15" x14ac:dyDescent="0.25">
      <c r="C68" s="4">
        <v>60</v>
      </c>
      <c r="D68" s="37">
        <v>30.9</v>
      </c>
      <c r="E68" s="199">
        <f>'curve_rzeta_targetnu_2.5'!M68</f>
        <v>128.13067110867627</v>
      </c>
      <c r="F68" s="58">
        <f t="shared" si="4"/>
        <v>4.2710223702892085</v>
      </c>
      <c r="G68" s="120">
        <f t="shared" si="1"/>
        <v>0.68998366159227675</v>
      </c>
      <c r="H68" s="57">
        <f t="shared" si="5"/>
        <v>4.14662366047496</v>
      </c>
      <c r="J68" s="1"/>
      <c r="K68" s="61">
        <f t="shared" si="6"/>
        <v>33.4</v>
      </c>
      <c r="L68" s="58">
        <f t="shared" si="7"/>
        <v>130.63067110867627</v>
      </c>
      <c r="M68" s="58">
        <f t="shared" si="8"/>
        <v>4.3543557036225424</v>
      </c>
      <c r="N68" s="120">
        <f t="shared" si="2"/>
        <v>0.70344616154685569</v>
      </c>
      <c r="O68" s="57">
        <f t="shared" si="3"/>
        <v>3.911097937385517</v>
      </c>
    </row>
    <row r="69" spans="1:15" x14ac:dyDescent="0.25">
      <c r="C69" s="4">
        <v>70</v>
      </c>
      <c r="D69" s="66">
        <v>35.200000000000003</v>
      </c>
      <c r="E69" s="199">
        <f>'curve_rzeta_targetnu_2.5'!M69</f>
        <v>151.47892673292392</v>
      </c>
      <c r="F69" s="67">
        <f t="shared" si="4"/>
        <v>4.3279693352263982</v>
      </c>
      <c r="G69" s="121">
        <f t="shared" si="1"/>
        <v>0.69918344374684049</v>
      </c>
      <c r="H69" s="69">
        <f t="shared" si="5"/>
        <v>4.3033786003671564</v>
      </c>
      <c r="J69" s="1"/>
      <c r="K69" s="72">
        <f t="shared" si="6"/>
        <v>37.700000000000003</v>
      </c>
      <c r="L69" s="67">
        <f t="shared" si="7"/>
        <v>153.97892673292392</v>
      </c>
      <c r="M69" s="67">
        <f t="shared" si="8"/>
        <v>4.3993979066549693</v>
      </c>
      <c r="N69" s="121">
        <f t="shared" si="2"/>
        <v>0.71072272942219372</v>
      </c>
      <c r="O69" s="69">
        <f t="shared" si="3"/>
        <v>4.0843216640032871</v>
      </c>
    </row>
    <row r="70" spans="1:15" x14ac:dyDescent="0.25">
      <c r="B70" s="2"/>
    </row>
    <row r="71" spans="1:15" x14ac:dyDescent="0.25">
      <c r="B71" s="2"/>
    </row>
    <row r="72" spans="1:15" x14ac:dyDescent="0.25">
      <c r="B72" s="2"/>
    </row>
    <row r="73" spans="1:15" x14ac:dyDescent="0.25">
      <c r="B73" s="2"/>
    </row>
    <row r="74" spans="1:15" x14ac:dyDescent="0.25">
      <c r="B74" s="2"/>
    </row>
    <row r="75" spans="1:15" x14ac:dyDescent="0.25">
      <c r="B75" s="2"/>
    </row>
    <row r="76" spans="1:15" x14ac:dyDescent="0.25">
      <c r="B76" s="2"/>
    </row>
    <row r="77" spans="1:15" x14ac:dyDescent="0.25">
      <c r="B77" s="2"/>
    </row>
    <row r="78" spans="1:15" x14ac:dyDescent="0.25">
      <c r="B78" s="2"/>
    </row>
    <row r="79" spans="1:15" x14ac:dyDescent="0.25">
      <c r="A79" t="s">
        <v>141</v>
      </c>
      <c r="B79" s="2"/>
    </row>
    <row r="80" spans="1:15" x14ac:dyDescent="0.25">
      <c r="B80" s="2"/>
    </row>
    <row r="81" spans="1:2" x14ac:dyDescent="0.25">
      <c r="B81" s="2"/>
    </row>
    <row r="82" spans="1:2" x14ac:dyDescent="0.25">
      <c r="B82" s="2"/>
    </row>
    <row r="83" spans="1:2" x14ac:dyDescent="0.25">
      <c r="B83" s="2"/>
    </row>
    <row r="84" spans="1:2" x14ac:dyDescent="0.25">
      <c r="B84" s="2"/>
    </row>
    <row r="85" spans="1:2" x14ac:dyDescent="0.25">
      <c r="B85" s="2"/>
    </row>
    <row r="86" spans="1:2" x14ac:dyDescent="0.25">
      <c r="B86" s="2"/>
    </row>
    <row r="87" spans="1:2" x14ac:dyDescent="0.25">
      <c r="B87" s="2"/>
    </row>
    <row r="88" spans="1:2" x14ac:dyDescent="0.25">
      <c r="B88" s="2"/>
    </row>
    <row r="89" spans="1:2" x14ac:dyDescent="0.25">
      <c r="B89" s="2"/>
    </row>
    <row r="90" spans="1:2" x14ac:dyDescent="0.25">
      <c r="B90" s="2"/>
    </row>
    <row r="91" spans="1:2" x14ac:dyDescent="0.25">
      <c r="A91" t="s">
        <v>141</v>
      </c>
      <c r="B91" s="2"/>
    </row>
    <row r="92" spans="1:2" x14ac:dyDescent="0.25">
      <c r="B92" s="2"/>
    </row>
    <row r="93" spans="1:2" x14ac:dyDescent="0.25">
      <c r="B93" s="2"/>
    </row>
    <row r="94" spans="1:2" x14ac:dyDescent="0.25">
      <c r="B94" s="2"/>
    </row>
    <row r="95" spans="1:2" x14ac:dyDescent="0.25">
      <c r="B95" s="2"/>
    </row>
    <row r="96" spans="1:2" x14ac:dyDescent="0.25">
      <c r="B96" s="2"/>
    </row>
    <row r="97" spans="1:25" x14ac:dyDescent="0.25">
      <c r="B97" s="2"/>
    </row>
    <row r="98" spans="1:25" x14ac:dyDescent="0.25">
      <c r="B98" s="2"/>
    </row>
    <row r="99" spans="1:25" x14ac:dyDescent="0.25">
      <c r="B99" s="2"/>
    </row>
    <row r="100" spans="1:25" x14ac:dyDescent="0.25">
      <c r="B100" s="2"/>
    </row>
    <row r="101" spans="1:25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</row>
    <row r="102" spans="1:25" ht="15.75" x14ac:dyDescent="0.25">
      <c r="B102" t="s">
        <v>46</v>
      </c>
      <c r="K102" s="189" t="s">
        <v>131</v>
      </c>
    </row>
    <row r="103" spans="1:25" ht="15.75" x14ac:dyDescent="0.25">
      <c r="B103" t="s">
        <v>47</v>
      </c>
      <c r="K103" s="189" t="s">
        <v>132</v>
      </c>
    </row>
    <row r="106" spans="1:25" x14ac:dyDescent="0.25">
      <c r="D106" s="70">
        <v>0.9</v>
      </c>
      <c r="E106" t="s">
        <v>55</v>
      </c>
    </row>
    <row r="107" spans="1:25" x14ac:dyDescent="0.25">
      <c r="D107" s="70">
        <v>0.96</v>
      </c>
      <c r="E107" t="s">
        <v>54</v>
      </c>
    </row>
    <row r="108" spans="1:25" x14ac:dyDescent="0.25">
      <c r="D108" s="70">
        <v>85</v>
      </c>
      <c r="E108" t="s">
        <v>53</v>
      </c>
    </row>
    <row r="109" spans="1:25" x14ac:dyDescent="0.25">
      <c r="D109" s="78" t="s">
        <v>157</v>
      </c>
      <c r="E109" s="20" t="s">
        <v>69</v>
      </c>
    </row>
    <row r="110" spans="1:25" x14ac:dyDescent="0.25">
      <c r="E110" s="20" t="s">
        <v>158</v>
      </c>
    </row>
    <row r="111" spans="1:25" x14ac:dyDescent="0.25">
      <c r="C111" s="4"/>
      <c r="D111" s="4" t="s">
        <v>48</v>
      </c>
      <c r="E111" s="4" t="s">
        <v>49</v>
      </c>
      <c r="F111" s="4" t="s">
        <v>56</v>
      </c>
      <c r="G111" s="60" t="s">
        <v>10</v>
      </c>
      <c r="H111" s="4" t="s">
        <v>50</v>
      </c>
      <c r="J111" s="4" t="s">
        <v>51</v>
      </c>
      <c r="K111" s="4" t="s">
        <v>48</v>
      </c>
      <c r="L111" s="4" t="s">
        <v>49</v>
      </c>
      <c r="M111" s="4" t="s">
        <v>56</v>
      </c>
      <c r="N111" s="60" t="s">
        <v>10</v>
      </c>
      <c r="O111" s="4" t="s">
        <v>50</v>
      </c>
    </row>
    <row r="112" spans="1:25" x14ac:dyDescent="0.25">
      <c r="C112" s="4" t="s">
        <v>9</v>
      </c>
      <c r="D112" s="4" t="s">
        <v>52</v>
      </c>
      <c r="E112" s="4" t="s">
        <v>52</v>
      </c>
      <c r="F112" s="4" t="s">
        <v>57</v>
      </c>
      <c r="G112" s="4"/>
      <c r="H112" s="4"/>
      <c r="J112" s="56">
        <v>2.5</v>
      </c>
      <c r="K112" s="4" t="s">
        <v>52</v>
      </c>
      <c r="L112" s="4" t="s">
        <v>52</v>
      </c>
      <c r="M112" s="4" t="s">
        <v>57</v>
      </c>
      <c r="N112" s="4"/>
      <c r="O112" s="4"/>
    </row>
    <row r="113" spans="2:19" x14ac:dyDescent="0.25">
      <c r="C113" s="4">
        <v>1</v>
      </c>
      <c r="D113" s="62">
        <v>2.8</v>
      </c>
      <c r="E113" s="199">
        <f>'curve_rzeta_targetnu_2.5'!M113</f>
        <v>1.2379774986345533</v>
      </c>
      <c r="F113" s="63">
        <f>(E113*2)/C113</f>
        <v>2.4759549972691066</v>
      </c>
      <c r="G113" s="119">
        <f t="shared" ref="G113:G124" si="9">SQRT(12*32.2*F113^2/(4*$D$108*($D$107*56)*$D$106^2))</f>
        <v>0.39999052845929095</v>
      </c>
      <c r="H113" s="65">
        <f>E113/D113</f>
        <v>0.44213482094091194</v>
      </c>
      <c r="J113" s="1"/>
      <c r="K113" s="71">
        <f>D113+$J$112</f>
        <v>5.3</v>
      </c>
      <c r="L113" s="63">
        <f>E113+$J$112</f>
        <v>3.7379774986345531</v>
      </c>
      <c r="M113" s="63">
        <f>(L113*2)/C113</f>
        <v>7.4759549972691062</v>
      </c>
      <c r="N113" s="119">
        <f>SQRT(12*32.2*M113^2/(4*$D$108*($D$107*56)*$D$106^2))</f>
        <v>1.2077405257340126</v>
      </c>
      <c r="O113" s="65">
        <f t="shared" ref="O113:O124" si="10">L113/K113</f>
        <v>0.70527877332727418</v>
      </c>
    </row>
    <row r="114" spans="2:19" x14ac:dyDescent="0.25">
      <c r="C114" s="4">
        <v>2</v>
      </c>
      <c r="D114" s="37">
        <v>3.8</v>
      </c>
      <c r="E114" s="199">
        <f>'curve_rzeta_targetnu_2.5'!M114</f>
        <v>2.760689821955054</v>
      </c>
      <c r="F114" s="58">
        <f t="shared" ref="F114:F124" si="11">(E114*2)/C114</f>
        <v>2.760689821955054</v>
      </c>
      <c r="G114" s="120">
        <f t="shared" si="9"/>
        <v>0.44598943923210943</v>
      </c>
      <c r="H114" s="57">
        <f t="shared" ref="H114:H124" si="12">E114/D114</f>
        <v>0.72649732156711955</v>
      </c>
      <c r="J114" s="1"/>
      <c r="K114" s="61">
        <f t="shared" ref="K114:K124" si="13">D114+$J$112</f>
        <v>6.3</v>
      </c>
      <c r="L114" s="58">
        <f t="shared" ref="L114:L124" si="14">E114+$J$112</f>
        <v>5.2606898219550544</v>
      </c>
      <c r="M114" s="58">
        <f t="shared" ref="M114:M124" si="15">(L114*2)/C114</f>
        <v>5.2606898219550544</v>
      </c>
      <c r="N114" s="120">
        <f t="shared" ref="N114:N124" si="16">SQRT(12*32.2*M114^2/(4*$D$108*($D$107*56)*$D$106^2))</f>
        <v>0.8498644378694703</v>
      </c>
      <c r="O114" s="57">
        <f t="shared" si="10"/>
        <v>0.83503013046905628</v>
      </c>
      <c r="S114">
        <f>9/3</f>
        <v>3</v>
      </c>
    </row>
    <row r="115" spans="2:19" x14ac:dyDescent="0.25">
      <c r="C115" s="4">
        <v>3</v>
      </c>
      <c r="D115" s="66">
        <v>4.8</v>
      </c>
      <c r="E115" s="199">
        <f>'curve_rzeta_targetnu_2.5'!M115</f>
        <v>4.466003826324151</v>
      </c>
      <c r="F115" s="67">
        <f t="shared" si="11"/>
        <v>2.9773358842161008</v>
      </c>
      <c r="G115" s="121">
        <f t="shared" si="9"/>
        <v>0.48098861047229741</v>
      </c>
      <c r="H115" s="69">
        <f t="shared" si="12"/>
        <v>0.93041746381753154</v>
      </c>
      <c r="J115" s="1"/>
      <c r="K115" s="72">
        <f t="shared" si="13"/>
        <v>7.3</v>
      </c>
      <c r="L115" s="67">
        <f t="shared" si="14"/>
        <v>6.966003826324151</v>
      </c>
      <c r="M115" s="67">
        <f t="shared" si="15"/>
        <v>4.6440025508827674</v>
      </c>
      <c r="N115" s="121">
        <f t="shared" si="16"/>
        <v>0.75023860956387134</v>
      </c>
      <c r="O115" s="69">
        <f t="shared" si="10"/>
        <v>0.95424709949645903</v>
      </c>
    </row>
    <row r="116" spans="2:19" x14ac:dyDescent="0.25">
      <c r="C116" s="4">
        <v>4</v>
      </c>
      <c r="D116" s="37">
        <v>5.7</v>
      </c>
      <c r="E116" s="199">
        <f>'curve_rzeta_targetnu_2.5'!M116</f>
        <v>6.4127234429269855</v>
      </c>
      <c r="F116" s="58">
        <f t="shared" si="11"/>
        <v>3.2063617214634927</v>
      </c>
      <c r="G116" s="120">
        <f t="shared" si="9"/>
        <v>0.51798773435478174</v>
      </c>
      <c r="H116" s="57">
        <f t="shared" si="12"/>
        <v>1.1250392005135061</v>
      </c>
      <c r="J116" s="1"/>
      <c r="K116" s="61">
        <f t="shared" si="13"/>
        <v>8.1999999999999993</v>
      </c>
      <c r="L116" s="58">
        <f t="shared" si="14"/>
        <v>8.9127234429269855</v>
      </c>
      <c r="M116" s="58">
        <f t="shared" si="15"/>
        <v>4.4563617214634927</v>
      </c>
      <c r="N116" s="120">
        <f t="shared" si="16"/>
        <v>0.71992523367346217</v>
      </c>
      <c r="O116" s="57">
        <f t="shared" si="10"/>
        <v>1.0869174930398764</v>
      </c>
    </row>
    <row r="117" spans="2:19" x14ac:dyDescent="0.25">
      <c r="C117" s="4">
        <v>5</v>
      </c>
      <c r="D117" s="37">
        <v>6.5</v>
      </c>
      <c r="E117" s="199">
        <f>'curve_rzeta_targetnu_2.5'!M117</f>
        <v>8.4801458656466906</v>
      </c>
      <c r="F117" s="58">
        <f t="shared" si="11"/>
        <v>3.3920583462586764</v>
      </c>
      <c r="G117" s="120">
        <f t="shared" si="9"/>
        <v>0.54798702398922872</v>
      </c>
      <c r="H117" s="57">
        <f t="shared" si="12"/>
        <v>1.3046378254841062</v>
      </c>
      <c r="J117" s="1"/>
      <c r="K117" s="61">
        <f t="shared" si="13"/>
        <v>9</v>
      </c>
      <c r="L117" s="58">
        <f t="shared" si="14"/>
        <v>10.980145865646691</v>
      </c>
      <c r="M117" s="58">
        <f t="shared" si="15"/>
        <v>4.3920583462586764</v>
      </c>
      <c r="N117" s="120">
        <f t="shared" si="16"/>
        <v>0.70953702344417302</v>
      </c>
      <c r="O117" s="57">
        <f t="shared" si="10"/>
        <v>1.2200162072940768</v>
      </c>
    </row>
    <row r="118" spans="2:19" x14ac:dyDescent="0.25">
      <c r="C118" s="4">
        <v>10</v>
      </c>
      <c r="D118" s="66">
        <v>9.1</v>
      </c>
      <c r="E118" s="199">
        <f>'curve_rzeta_targetnu_2.5'!M118</f>
        <v>19.157701791369711</v>
      </c>
      <c r="F118" s="67">
        <f t="shared" si="11"/>
        <v>3.831540358273942</v>
      </c>
      <c r="G118" s="121">
        <f t="shared" si="9"/>
        <v>0.61898534279075268</v>
      </c>
      <c r="H118" s="69">
        <f t="shared" si="12"/>
        <v>2.1052419550955728</v>
      </c>
      <c r="J118" s="1"/>
      <c r="K118" s="72">
        <f t="shared" si="13"/>
        <v>11.6</v>
      </c>
      <c r="L118" s="67">
        <f t="shared" si="14"/>
        <v>21.657701791369711</v>
      </c>
      <c r="M118" s="67">
        <f t="shared" si="15"/>
        <v>4.3315403582739425</v>
      </c>
      <c r="N118" s="121">
        <f t="shared" si="16"/>
        <v>0.69976034251822494</v>
      </c>
      <c r="O118" s="69">
        <f t="shared" si="10"/>
        <v>1.8670432578766993</v>
      </c>
    </row>
    <row r="119" spans="2:19" x14ac:dyDescent="0.25">
      <c r="C119" s="4">
        <v>20</v>
      </c>
      <c r="D119" s="37">
        <v>13.3</v>
      </c>
      <c r="E119" s="199">
        <f>'curve_rzeta_targetnu_2.5'!M119</f>
        <v>40.853257454940255</v>
      </c>
      <c r="F119" s="58">
        <f t="shared" si="11"/>
        <v>4.0853257454940257</v>
      </c>
      <c r="G119" s="120">
        <f t="shared" si="9"/>
        <v>0.65998437195783011</v>
      </c>
      <c r="H119" s="57">
        <f t="shared" si="12"/>
        <v>3.0716734928526508</v>
      </c>
      <c r="J119" s="1"/>
      <c r="K119" s="61">
        <f t="shared" si="13"/>
        <v>15.8</v>
      </c>
      <c r="L119" s="58">
        <f t="shared" si="14"/>
        <v>43.353257454940255</v>
      </c>
      <c r="M119" s="58">
        <f t="shared" si="15"/>
        <v>4.3353257454940257</v>
      </c>
      <c r="N119" s="120">
        <f t="shared" si="16"/>
        <v>0.70037187182156613</v>
      </c>
      <c r="O119" s="57">
        <f t="shared" si="10"/>
        <v>2.7438770541101425</v>
      </c>
    </row>
    <row r="120" spans="2:19" x14ac:dyDescent="0.25">
      <c r="C120" s="4">
        <v>30</v>
      </c>
      <c r="D120" s="37">
        <v>17.7</v>
      </c>
      <c r="E120" s="199">
        <f>'curve_rzeta_targetnu_2.5'!M120</f>
        <v>62.486914243579072</v>
      </c>
      <c r="F120" s="58">
        <f t="shared" si="11"/>
        <v>4.1657942829052717</v>
      </c>
      <c r="G120" s="120">
        <f t="shared" si="9"/>
        <v>0.67298406413275702</v>
      </c>
      <c r="H120" s="57">
        <f t="shared" si="12"/>
        <v>3.530334138055315</v>
      </c>
      <c r="J120" s="1"/>
      <c r="K120" s="61">
        <f t="shared" si="13"/>
        <v>20.2</v>
      </c>
      <c r="L120" s="58">
        <f t="shared" si="14"/>
        <v>64.986914243579065</v>
      </c>
      <c r="M120" s="58">
        <f t="shared" si="15"/>
        <v>4.3324609495719377</v>
      </c>
      <c r="N120" s="120">
        <f t="shared" si="16"/>
        <v>0.69990906404191422</v>
      </c>
      <c r="O120" s="57">
        <f t="shared" si="10"/>
        <v>3.2171739724544093</v>
      </c>
    </row>
    <row r="121" spans="2:19" x14ac:dyDescent="0.25">
      <c r="C121" s="4">
        <v>40</v>
      </c>
      <c r="D121" s="37">
        <v>22.1</v>
      </c>
      <c r="E121" s="199">
        <f>'curve_rzeta_targetnu_2.5'!M121</f>
        <v>84.182469907149638</v>
      </c>
      <c r="F121" s="58">
        <f t="shared" si="11"/>
        <v>4.2091234953574821</v>
      </c>
      <c r="G121" s="120">
        <f t="shared" si="9"/>
        <v>0.67998389838079476</v>
      </c>
      <c r="H121" s="57">
        <f t="shared" si="12"/>
        <v>3.8091615342601646</v>
      </c>
      <c r="J121" s="1"/>
      <c r="K121" s="61">
        <f t="shared" si="13"/>
        <v>24.6</v>
      </c>
      <c r="L121" s="58">
        <f t="shared" si="14"/>
        <v>86.682469907149638</v>
      </c>
      <c r="M121" s="58">
        <f t="shared" si="15"/>
        <v>4.3341234953574821</v>
      </c>
      <c r="N121" s="120">
        <f t="shared" si="16"/>
        <v>0.70017764831266283</v>
      </c>
      <c r="O121" s="57">
        <f t="shared" si="10"/>
        <v>3.5236776385020177</v>
      </c>
    </row>
    <row r="122" spans="2:19" x14ac:dyDescent="0.25">
      <c r="C122" s="4">
        <v>50</v>
      </c>
      <c r="D122" s="37">
        <v>26.5</v>
      </c>
      <c r="E122" s="199">
        <f>'curve_rzeta_targetnu_2.5'!M122</f>
        <v>105.8470761332543</v>
      </c>
      <c r="F122" s="58">
        <f t="shared" si="11"/>
        <v>4.2338830453301721</v>
      </c>
      <c r="G122" s="120">
        <f t="shared" si="9"/>
        <v>0.68398380366538747</v>
      </c>
      <c r="H122" s="57">
        <f t="shared" si="12"/>
        <v>3.9942292880473325</v>
      </c>
      <c r="J122" s="1"/>
      <c r="K122" s="61">
        <f t="shared" si="13"/>
        <v>29</v>
      </c>
      <c r="L122" s="58">
        <f t="shared" si="14"/>
        <v>108.3470761332543</v>
      </c>
      <c r="M122" s="58">
        <f t="shared" si="15"/>
        <v>4.3338830453301718</v>
      </c>
      <c r="N122" s="120">
        <f t="shared" si="16"/>
        <v>0.70013880361088177</v>
      </c>
      <c r="O122" s="57">
        <f t="shared" si="10"/>
        <v>3.7361060735604932</v>
      </c>
    </row>
    <row r="123" spans="2:19" x14ac:dyDescent="0.25">
      <c r="C123" s="4">
        <v>60</v>
      </c>
      <c r="D123" s="37">
        <v>30.9</v>
      </c>
      <c r="E123" s="199">
        <f>'curve_rzeta_targetnu_2.5'!M123</f>
        <v>127.57358123429073</v>
      </c>
      <c r="F123" s="58">
        <f t="shared" si="11"/>
        <v>4.2524527078096908</v>
      </c>
      <c r="G123" s="120">
        <f t="shared" si="9"/>
        <v>0.68698373262883217</v>
      </c>
      <c r="H123" s="57">
        <f t="shared" si="12"/>
        <v>4.1285948619511563</v>
      </c>
      <c r="J123" s="1"/>
      <c r="K123" s="61">
        <f t="shared" si="13"/>
        <v>33.4</v>
      </c>
      <c r="L123" s="58">
        <f t="shared" si="14"/>
        <v>130.07358123429071</v>
      </c>
      <c r="M123" s="58">
        <f t="shared" si="15"/>
        <v>4.3357860411430238</v>
      </c>
      <c r="N123" s="120">
        <f t="shared" si="16"/>
        <v>0.70044623258341088</v>
      </c>
      <c r="O123" s="57">
        <f t="shared" si="10"/>
        <v>3.8944185998290632</v>
      </c>
    </row>
    <row r="124" spans="2:19" x14ac:dyDescent="0.25">
      <c r="C124" s="4">
        <v>70</v>
      </c>
      <c r="D124" s="66">
        <v>35.200000000000003</v>
      </c>
      <c r="E124" s="199">
        <f>'curve_rzeta_targetnu_2.5'!M124</f>
        <v>149.31246611031349</v>
      </c>
      <c r="F124" s="67">
        <f t="shared" si="11"/>
        <v>4.2660704602946709</v>
      </c>
      <c r="G124" s="121">
        <f t="shared" si="9"/>
        <v>0.68918368053535828</v>
      </c>
      <c r="H124" s="69">
        <f t="shared" si="12"/>
        <v>4.2418314235884509</v>
      </c>
      <c r="J124" s="1"/>
      <c r="K124" s="72">
        <f t="shared" si="13"/>
        <v>37.700000000000003</v>
      </c>
      <c r="L124" s="67">
        <f t="shared" si="14"/>
        <v>151.81246611031349</v>
      </c>
      <c r="M124" s="67">
        <f t="shared" si="15"/>
        <v>4.3374990317232429</v>
      </c>
      <c r="N124" s="121">
        <f t="shared" si="16"/>
        <v>0.70072296621071162</v>
      </c>
      <c r="O124" s="69">
        <f t="shared" si="10"/>
        <v>4.0268558649950528</v>
      </c>
    </row>
    <row r="126" spans="2:19" x14ac:dyDescent="0.25">
      <c r="B126" s="2"/>
    </row>
    <row r="127" spans="2:19" x14ac:dyDescent="0.25">
      <c r="B127" s="2"/>
    </row>
    <row r="128" spans="2:19" x14ac:dyDescent="0.25">
      <c r="B128" s="2"/>
    </row>
    <row r="129" spans="1:2" x14ac:dyDescent="0.25">
      <c r="B129" s="2"/>
    </row>
    <row r="130" spans="1:2" x14ac:dyDescent="0.25">
      <c r="A130" t="s">
        <v>141</v>
      </c>
      <c r="B130" s="2"/>
    </row>
    <row r="131" spans="1:2" x14ac:dyDescent="0.25">
      <c r="B131" s="2"/>
    </row>
    <row r="132" spans="1:2" x14ac:dyDescent="0.25">
      <c r="B132" s="2"/>
    </row>
    <row r="134" spans="1:2" x14ac:dyDescent="0.25">
      <c r="B134" s="2"/>
    </row>
    <row r="135" spans="1:2" x14ac:dyDescent="0.25">
      <c r="B135" s="2"/>
    </row>
    <row r="136" spans="1:2" x14ac:dyDescent="0.25">
      <c r="B136" s="2"/>
    </row>
    <row r="137" spans="1:2" x14ac:dyDescent="0.25">
      <c r="B137" s="2"/>
    </row>
    <row r="138" spans="1:2" x14ac:dyDescent="0.25">
      <c r="B138" s="2"/>
    </row>
    <row r="139" spans="1:2" x14ac:dyDescent="0.25">
      <c r="B139" s="2"/>
    </row>
    <row r="140" spans="1:2" x14ac:dyDescent="0.25">
      <c r="B140" s="2"/>
    </row>
    <row r="141" spans="1:2" x14ac:dyDescent="0.25">
      <c r="B141" s="2"/>
    </row>
    <row r="142" spans="1:2" x14ac:dyDescent="0.25">
      <c r="A142" t="s">
        <v>141</v>
      </c>
      <c r="B142" s="2"/>
    </row>
    <row r="143" spans="1:2" x14ac:dyDescent="0.25">
      <c r="B143" s="2"/>
    </row>
    <row r="144" spans="1:2" x14ac:dyDescent="0.25">
      <c r="B144" s="2"/>
    </row>
    <row r="145" spans="1:25" x14ac:dyDescent="0.25">
      <c r="B145" s="2"/>
    </row>
    <row r="146" spans="1:25" x14ac:dyDescent="0.25">
      <c r="B146" s="2"/>
    </row>
    <row r="147" spans="1:25" x14ac:dyDescent="0.25">
      <c r="B147" s="2"/>
    </row>
    <row r="148" spans="1:25" x14ac:dyDescent="0.25">
      <c r="B148" s="2"/>
    </row>
    <row r="149" spans="1:25" x14ac:dyDescent="0.25">
      <c r="B149" s="2"/>
    </row>
    <row r="150" spans="1:25" x14ac:dyDescent="0.25">
      <c r="B150" s="2"/>
    </row>
    <row r="151" spans="1:25" x14ac:dyDescent="0.25">
      <c r="B151" s="2"/>
    </row>
    <row r="152" spans="1:25" x14ac:dyDescent="0.25">
      <c r="B152" s="2"/>
    </row>
    <row r="153" spans="1:25" x14ac:dyDescent="0.25">
      <c r="B153" s="2"/>
    </row>
    <row r="154" spans="1:25" x14ac:dyDescent="0.25">
      <c r="B154" s="2"/>
    </row>
    <row r="155" spans="1:25" x14ac:dyDescent="0.25">
      <c r="B155" s="2"/>
    </row>
    <row r="156" spans="1:25" x14ac:dyDescent="0.2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</row>
    <row r="157" spans="1:25" ht="15.75" x14ac:dyDescent="0.25">
      <c r="B157" t="s">
        <v>46</v>
      </c>
      <c r="K157" s="189" t="s">
        <v>131</v>
      </c>
    </row>
    <row r="158" spans="1:25" ht="15.75" x14ac:dyDescent="0.25">
      <c r="B158" t="s">
        <v>47</v>
      </c>
      <c r="K158" s="189" t="s">
        <v>132</v>
      </c>
    </row>
    <row r="161" spans="3:15" x14ac:dyDescent="0.25">
      <c r="D161" s="198">
        <f>D106</f>
        <v>0.9</v>
      </c>
      <c r="E161" t="s">
        <v>55</v>
      </c>
    </row>
    <row r="162" spans="3:15" x14ac:dyDescent="0.25">
      <c r="D162" s="198">
        <f t="shared" ref="D162:D163" si="17">D107</f>
        <v>0.96</v>
      </c>
      <c r="E162" t="s">
        <v>54</v>
      </c>
    </row>
    <row r="163" spans="3:15" x14ac:dyDescent="0.25">
      <c r="D163" s="198">
        <f t="shared" si="17"/>
        <v>85</v>
      </c>
      <c r="E163" t="s">
        <v>53</v>
      </c>
    </row>
    <row r="164" spans="3:15" x14ac:dyDescent="0.25">
      <c r="D164" s="77" t="s">
        <v>104</v>
      </c>
      <c r="E164" s="20" t="s">
        <v>69</v>
      </c>
    </row>
    <row r="165" spans="3:15" x14ac:dyDescent="0.25">
      <c r="E165" s="20" t="s">
        <v>142</v>
      </c>
    </row>
    <row r="166" spans="3:15" x14ac:dyDescent="0.25">
      <c r="C166" s="4"/>
      <c r="D166" s="4" t="s">
        <v>48</v>
      </c>
      <c r="E166" s="4" t="s">
        <v>49</v>
      </c>
      <c r="F166" s="4" t="s">
        <v>56</v>
      </c>
      <c r="G166" s="60" t="s">
        <v>10</v>
      </c>
      <c r="H166" s="4" t="s">
        <v>50</v>
      </c>
      <c r="J166" s="4" t="s">
        <v>51</v>
      </c>
      <c r="K166" s="4" t="s">
        <v>48</v>
      </c>
      <c r="L166" s="4" t="s">
        <v>49</v>
      </c>
      <c r="M166" s="4" t="s">
        <v>56</v>
      </c>
      <c r="N166" s="60" t="s">
        <v>10</v>
      </c>
      <c r="O166" s="4" t="s">
        <v>50</v>
      </c>
    </row>
    <row r="167" spans="3:15" x14ac:dyDescent="0.25">
      <c r="C167" s="4" t="s">
        <v>9</v>
      </c>
      <c r="D167" s="4" t="s">
        <v>52</v>
      </c>
      <c r="E167" s="4" t="s">
        <v>52</v>
      </c>
      <c r="F167" s="4" t="s">
        <v>57</v>
      </c>
      <c r="G167" s="4"/>
      <c r="H167" s="4"/>
      <c r="J167" s="56">
        <v>2.5</v>
      </c>
      <c r="K167" s="4" t="s">
        <v>52</v>
      </c>
      <c r="L167" s="4" t="s">
        <v>52</v>
      </c>
      <c r="M167" s="4" t="s">
        <v>57</v>
      </c>
      <c r="N167" s="4"/>
      <c r="O167" s="4"/>
    </row>
    <row r="168" spans="3:15" x14ac:dyDescent="0.25">
      <c r="C168" s="4">
        <v>1</v>
      </c>
      <c r="D168" s="62">
        <v>2.8</v>
      </c>
      <c r="E168" s="199">
        <f>'curve_rzeta_targetnu_2.5'!M168</f>
        <v>1.1141797487710978</v>
      </c>
      <c r="F168" s="63">
        <f>(E168*2)/C168</f>
        <v>2.2283594975421956</v>
      </c>
      <c r="G168" s="119">
        <f t="shared" ref="G168:G179" si="18">SQRT(12*32.2*F168^2/(4*$D$108*($D$107*56)*$D$106^2))</f>
        <v>0.35999147561336176</v>
      </c>
      <c r="H168" s="65">
        <f>E168/D168</f>
        <v>0.39792133884682068</v>
      </c>
      <c r="J168" s="1"/>
      <c r="K168" s="71">
        <f>D168+$J$167</f>
        <v>5.3</v>
      </c>
      <c r="L168" s="63">
        <f>E168+$J$167</f>
        <v>3.6141797487710976</v>
      </c>
      <c r="M168" s="63">
        <f>(L168*2)/C168</f>
        <v>7.2283594975421952</v>
      </c>
      <c r="N168" s="119">
        <f t="shared" ref="N168:N179" si="19">SQRT(12*32.2*M168^2/(4*$D$108*($D$107*56)*$D$106^2))</f>
        <v>1.1677414728880835</v>
      </c>
      <c r="O168" s="65">
        <f t="shared" ref="O168:O179" si="20">L168/K168</f>
        <v>0.68192070731530141</v>
      </c>
    </row>
    <row r="169" spans="3:15" x14ac:dyDescent="0.25">
      <c r="C169" s="4">
        <v>2</v>
      </c>
      <c r="D169" s="37">
        <v>3.8</v>
      </c>
      <c r="E169" s="199">
        <f>'curve_rzeta_targetnu_2.5'!M169</f>
        <v>2.5997527471325617</v>
      </c>
      <c r="F169" s="58">
        <f t="shared" ref="F169:F179" si="21">(E169*2)/C169</f>
        <v>2.5997527471325617</v>
      </c>
      <c r="G169" s="120">
        <f t="shared" si="18"/>
        <v>0.41999005488225544</v>
      </c>
      <c r="H169" s="57">
        <f t="shared" ref="H169:H179" si="22">E169/D169</f>
        <v>0.6841454597717268</v>
      </c>
      <c r="J169" s="1"/>
      <c r="K169" s="61">
        <f t="shared" ref="K169:K179" si="23">D169+$J$167</f>
        <v>6.3</v>
      </c>
      <c r="L169" s="58">
        <f t="shared" ref="L169:L179" si="24">E169+$J$167</f>
        <v>5.0997527471325617</v>
      </c>
      <c r="M169" s="58">
        <f t="shared" ref="M169:M179" si="25">(L169*2)/C169</f>
        <v>5.0997527471325617</v>
      </c>
      <c r="N169" s="120">
        <f t="shared" si="19"/>
        <v>0.82386505351961636</v>
      </c>
      <c r="O169" s="57">
        <f t="shared" si="20"/>
        <v>0.80948456303691452</v>
      </c>
    </row>
    <row r="170" spans="3:15" x14ac:dyDescent="0.25">
      <c r="C170" s="4">
        <v>3</v>
      </c>
      <c r="D170" s="66">
        <v>4.8</v>
      </c>
      <c r="E170" s="199">
        <f>'curve_rzeta_targetnu_2.5'!M170</f>
        <v>4.2710223702892094</v>
      </c>
      <c r="F170" s="67">
        <f t="shared" si="21"/>
        <v>2.8473482468594731</v>
      </c>
      <c r="G170" s="121">
        <f t="shared" si="18"/>
        <v>0.45998910772818463</v>
      </c>
      <c r="H170" s="69">
        <f t="shared" si="22"/>
        <v>0.88979632714358536</v>
      </c>
      <c r="J170" s="1"/>
      <c r="K170" s="72">
        <f t="shared" si="23"/>
        <v>7.3</v>
      </c>
      <c r="L170" s="67">
        <f t="shared" si="24"/>
        <v>6.7710223702892094</v>
      </c>
      <c r="M170" s="67">
        <f t="shared" si="25"/>
        <v>4.5140149135261396</v>
      </c>
      <c r="N170" s="121">
        <f t="shared" si="19"/>
        <v>0.72923910681975856</v>
      </c>
      <c r="O170" s="69">
        <f t="shared" si="20"/>
        <v>0.92753731099852188</v>
      </c>
    </row>
    <row r="171" spans="3:15" x14ac:dyDescent="0.25">
      <c r="C171" s="4">
        <v>4</v>
      </c>
      <c r="D171" s="37">
        <v>5.7</v>
      </c>
      <c r="E171" s="199">
        <f>'curve_rzeta_targetnu_2.5'!M171</f>
        <v>6.1403683932273845</v>
      </c>
      <c r="F171" s="58">
        <f t="shared" si="21"/>
        <v>3.0701841966136922</v>
      </c>
      <c r="G171" s="120">
        <f t="shared" si="18"/>
        <v>0.49598825528952079</v>
      </c>
      <c r="H171" s="57">
        <f t="shared" si="22"/>
        <v>1.0772576128469096</v>
      </c>
      <c r="J171" s="1"/>
      <c r="K171" s="61">
        <f t="shared" si="23"/>
        <v>8.1999999999999993</v>
      </c>
      <c r="L171" s="58">
        <f t="shared" si="24"/>
        <v>8.6403683932273836</v>
      </c>
      <c r="M171" s="58">
        <f t="shared" si="25"/>
        <v>4.3201841966136918</v>
      </c>
      <c r="N171" s="120">
        <f t="shared" si="19"/>
        <v>0.69792575460820117</v>
      </c>
      <c r="O171" s="57">
        <f t="shared" si="20"/>
        <v>1.0537034625887054</v>
      </c>
    </row>
    <row r="172" spans="3:15" x14ac:dyDescent="0.25">
      <c r="C172" s="4">
        <v>5</v>
      </c>
      <c r="D172" s="37">
        <v>6.5</v>
      </c>
      <c r="E172" s="199">
        <f>'curve_rzeta_targetnu_2.5'!M172</f>
        <v>8.2016009284539155</v>
      </c>
      <c r="F172" s="58">
        <f t="shared" si="21"/>
        <v>3.2806403713815664</v>
      </c>
      <c r="G172" s="120">
        <f t="shared" si="18"/>
        <v>0.52998745020856053</v>
      </c>
      <c r="H172" s="57">
        <f t="shared" si="22"/>
        <v>1.2617847582236794</v>
      </c>
      <c r="J172" s="1"/>
      <c r="K172" s="61">
        <f t="shared" si="23"/>
        <v>9</v>
      </c>
      <c r="L172" s="58">
        <f t="shared" si="24"/>
        <v>10.701600928453916</v>
      </c>
      <c r="M172" s="58">
        <f t="shared" si="25"/>
        <v>4.2806403713815664</v>
      </c>
      <c r="N172" s="120">
        <f t="shared" si="19"/>
        <v>0.69153744966350494</v>
      </c>
      <c r="O172" s="57">
        <f t="shared" si="20"/>
        <v>1.1890667698282129</v>
      </c>
    </row>
    <row r="173" spans="3:15" x14ac:dyDescent="0.25">
      <c r="C173" s="4">
        <v>10</v>
      </c>
      <c r="D173" s="66">
        <v>9.1</v>
      </c>
      <c r="E173" s="199">
        <f>'curve_rzeta_targetnu_2.5'!M173</f>
        <v>17.919724292735157</v>
      </c>
      <c r="F173" s="67">
        <f t="shared" si="21"/>
        <v>3.5839448585470315</v>
      </c>
      <c r="G173" s="121">
        <f t="shared" si="18"/>
        <v>0.5789862899448236</v>
      </c>
      <c r="H173" s="69">
        <f t="shared" si="22"/>
        <v>1.9692004717291383</v>
      </c>
      <c r="J173" s="1"/>
      <c r="K173" s="72">
        <f t="shared" si="23"/>
        <v>11.6</v>
      </c>
      <c r="L173" s="67">
        <f t="shared" si="24"/>
        <v>20.419724292735157</v>
      </c>
      <c r="M173" s="67">
        <f t="shared" si="25"/>
        <v>4.0839448585470315</v>
      </c>
      <c r="N173" s="121">
        <f t="shared" si="19"/>
        <v>0.65976128967229586</v>
      </c>
      <c r="O173" s="69">
        <f t="shared" si="20"/>
        <v>1.7603210597185481</v>
      </c>
    </row>
    <row r="174" spans="3:15" x14ac:dyDescent="0.25">
      <c r="C174" s="4">
        <v>20</v>
      </c>
      <c r="D174" s="37">
        <v>13.3</v>
      </c>
      <c r="E174" s="199">
        <f>'curve_rzeta_targetnu_2.5'!M174</f>
        <v>37.758313708353874</v>
      </c>
      <c r="F174" s="58">
        <f t="shared" si="21"/>
        <v>3.7758313708353874</v>
      </c>
      <c r="G174" s="120">
        <f t="shared" si="18"/>
        <v>0.6099855559004187</v>
      </c>
      <c r="H174" s="57">
        <f t="shared" si="22"/>
        <v>2.8389709555153289</v>
      </c>
      <c r="J174" s="1"/>
      <c r="K174" s="61">
        <f t="shared" si="23"/>
        <v>15.8</v>
      </c>
      <c r="L174" s="58">
        <f t="shared" si="24"/>
        <v>40.258313708353874</v>
      </c>
      <c r="M174" s="58">
        <f t="shared" si="25"/>
        <v>4.0258313708353874</v>
      </c>
      <c r="N174" s="120">
        <f t="shared" si="19"/>
        <v>0.65037305576415483</v>
      </c>
      <c r="O174" s="57">
        <f t="shared" si="20"/>
        <v>2.5479945385034095</v>
      </c>
    </row>
    <row r="175" spans="3:15" x14ac:dyDescent="0.25">
      <c r="C175" s="4">
        <v>30</v>
      </c>
      <c r="D175" s="37">
        <v>17.7</v>
      </c>
      <c r="E175" s="199">
        <f>'curve_rzeta_targetnu_2.5'!M175</f>
        <v>57.844498623699501</v>
      </c>
      <c r="F175" s="58">
        <f t="shared" si="21"/>
        <v>3.8562999082466334</v>
      </c>
      <c r="G175" s="120">
        <f t="shared" si="18"/>
        <v>0.62298524807534561</v>
      </c>
      <c r="H175" s="57">
        <f t="shared" si="22"/>
        <v>3.2680507697005368</v>
      </c>
      <c r="J175" s="1"/>
      <c r="K175" s="61">
        <f t="shared" si="23"/>
        <v>20.2</v>
      </c>
      <c r="L175" s="58">
        <f t="shared" si="24"/>
        <v>60.344498623699501</v>
      </c>
      <c r="M175" s="58">
        <f t="shared" si="25"/>
        <v>4.0229665749133003</v>
      </c>
      <c r="N175" s="120">
        <f t="shared" si="19"/>
        <v>0.64991024798450303</v>
      </c>
      <c r="O175" s="57">
        <f t="shared" si="20"/>
        <v>2.987351417014827</v>
      </c>
    </row>
    <row r="176" spans="3:15" x14ac:dyDescent="0.25">
      <c r="C176" s="4">
        <v>40</v>
      </c>
      <c r="D176" s="37">
        <v>22.1</v>
      </c>
      <c r="E176" s="199">
        <f>'curve_rzeta_targetnu_2.5'!M176</f>
        <v>77.992582413976862</v>
      </c>
      <c r="F176" s="58">
        <f t="shared" si="21"/>
        <v>3.8996291206988429</v>
      </c>
      <c r="G176" s="120">
        <f t="shared" si="18"/>
        <v>0.62998508232338324</v>
      </c>
      <c r="H176" s="57">
        <f t="shared" si="22"/>
        <v>3.5290761273292697</v>
      </c>
      <c r="J176" s="1"/>
      <c r="K176" s="61">
        <f t="shared" si="23"/>
        <v>24.6</v>
      </c>
      <c r="L176" s="58">
        <f t="shared" si="24"/>
        <v>80.492582413976862</v>
      </c>
      <c r="M176" s="58">
        <f t="shared" si="25"/>
        <v>4.0246291206988429</v>
      </c>
      <c r="N176" s="120">
        <f t="shared" si="19"/>
        <v>0.6501788322552513</v>
      </c>
      <c r="O176" s="57">
        <f t="shared" si="20"/>
        <v>3.2720561956901162</v>
      </c>
    </row>
    <row r="177" spans="1:15" x14ac:dyDescent="0.25">
      <c r="C177" s="4">
        <v>50</v>
      </c>
      <c r="D177" s="37">
        <v>26.5</v>
      </c>
      <c r="E177" s="199">
        <f>'curve_rzeta_targetnu_2.5'!M177</f>
        <v>98.109716766788338</v>
      </c>
      <c r="F177" s="58">
        <f t="shared" si="21"/>
        <v>3.9243886706715334</v>
      </c>
      <c r="G177" s="120">
        <f t="shared" si="18"/>
        <v>0.63398498760797606</v>
      </c>
      <c r="H177" s="57">
        <f t="shared" si="22"/>
        <v>3.7022534628976733</v>
      </c>
      <c r="J177" s="1"/>
      <c r="K177" s="61">
        <f t="shared" si="23"/>
        <v>29</v>
      </c>
      <c r="L177" s="58">
        <f t="shared" si="24"/>
        <v>100.60971676678834</v>
      </c>
      <c r="M177" s="58">
        <f t="shared" si="25"/>
        <v>4.0243886706715335</v>
      </c>
      <c r="N177" s="120">
        <f t="shared" si="19"/>
        <v>0.65013998755347047</v>
      </c>
      <c r="O177" s="57">
        <f t="shared" si="20"/>
        <v>3.4693005781651149</v>
      </c>
    </row>
    <row r="178" spans="1:15" x14ac:dyDescent="0.25">
      <c r="C178" s="4">
        <v>60</v>
      </c>
      <c r="D178" s="37">
        <v>30.9</v>
      </c>
      <c r="E178" s="199">
        <f>'curve_rzeta_targetnu_2.5'!M178</f>
        <v>118.28874999453157</v>
      </c>
      <c r="F178" s="58">
        <f t="shared" si="21"/>
        <v>3.9429583331510525</v>
      </c>
      <c r="G178" s="120">
        <f t="shared" si="18"/>
        <v>0.63698491657142087</v>
      </c>
      <c r="H178" s="57">
        <f t="shared" si="22"/>
        <v>3.8281148865544199</v>
      </c>
      <c r="J178" s="1"/>
      <c r="K178" s="61">
        <f t="shared" si="23"/>
        <v>33.4</v>
      </c>
      <c r="L178" s="58">
        <f t="shared" si="24"/>
        <v>120.78874999453157</v>
      </c>
      <c r="M178" s="58">
        <f t="shared" si="25"/>
        <v>4.0262916664843855</v>
      </c>
      <c r="N178" s="120">
        <f t="shared" si="19"/>
        <v>0.65044741652599947</v>
      </c>
      <c r="O178" s="57">
        <f t="shared" si="20"/>
        <v>3.6164296405548377</v>
      </c>
    </row>
    <row r="179" spans="1:15" x14ac:dyDescent="0.25">
      <c r="C179" s="4">
        <v>70</v>
      </c>
      <c r="D179" s="66">
        <v>35.200000000000003</v>
      </c>
      <c r="E179" s="199">
        <f>'curve_rzeta_targetnu_2.5'!M179</f>
        <v>138.22018772254788</v>
      </c>
      <c r="F179" s="67">
        <f t="shared" si="21"/>
        <v>3.9491482206442252</v>
      </c>
      <c r="G179" s="121">
        <f t="shared" si="18"/>
        <v>0.6379848928925691</v>
      </c>
      <c r="H179" s="69">
        <f t="shared" si="22"/>
        <v>3.9267098784814736</v>
      </c>
      <c r="J179" s="1"/>
      <c r="K179" s="72">
        <f t="shared" si="23"/>
        <v>37.700000000000003</v>
      </c>
      <c r="L179" s="67">
        <f t="shared" si="24"/>
        <v>140.72018772254788</v>
      </c>
      <c r="M179" s="67">
        <f t="shared" si="25"/>
        <v>4.0205767920727968</v>
      </c>
      <c r="N179" s="121">
        <f t="shared" si="19"/>
        <v>0.64952417856792233</v>
      </c>
      <c r="O179" s="69">
        <f t="shared" si="20"/>
        <v>3.7326309740728876</v>
      </c>
    </row>
    <row r="181" spans="1:15" x14ac:dyDescent="0.25">
      <c r="B181" s="2"/>
    </row>
    <row r="182" spans="1:15" x14ac:dyDescent="0.25">
      <c r="B182" s="2"/>
    </row>
    <row r="183" spans="1:15" x14ac:dyDescent="0.25">
      <c r="B183" s="2"/>
    </row>
    <row r="184" spans="1:15" x14ac:dyDescent="0.25">
      <c r="B184" s="2"/>
    </row>
    <row r="185" spans="1:15" x14ac:dyDescent="0.25">
      <c r="A185" t="s">
        <v>141</v>
      </c>
      <c r="B185" s="2"/>
    </row>
    <row r="186" spans="1:15" x14ac:dyDescent="0.25">
      <c r="B186" s="2"/>
    </row>
    <row r="187" spans="1:15" x14ac:dyDescent="0.25">
      <c r="B187" s="2"/>
    </row>
    <row r="189" spans="1:15" x14ac:dyDescent="0.25">
      <c r="B189" s="2"/>
    </row>
    <row r="190" spans="1:15" x14ac:dyDescent="0.25">
      <c r="B190" s="2"/>
    </row>
    <row r="191" spans="1:15" x14ac:dyDescent="0.25">
      <c r="B191" s="2"/>
    </row>
    <row r="192" spans="1:15" x14ac:dyDescent="0.25">
      <c r="B192" s="2"/>
    </row>
    <row r="193" spans="1:2" x14ac:dyDescent="0.25">
      <c r="B193" s="2"/>
    </row>
    <row r="194" spans="1:2" x14ac:dyDescent="0.25">
      <c r="B194" s="2"/>
    </row>
    <row r="195" spans="1:2" x14ac:dyDescent="0.25">
      <c r="B195" s="2"/>
    </row>
    <row r="196" spans="1:2" x14ac:dyDescent="0.25">
      <c r="B196" s="2"/>
    </row>
    <row r="197" spans="1:2" x14ac:dyDescent="0.25">
      <c r="A197" t="s">
        <v>141</v>
      </c>
      <c r="B197" s="2"/>
    </row>
    <row r="198" spans="1:2" x14ac:dyDescent="0.25">
      <c r="B198" s="2"/>
    </row>
    <row r="199" spans="1:2" x14ac:dyDescent="0.25">
      <c r="B199" s="2"/>
    </row>
    <row r="200" spans="1:2" x14ac:dyDescent="0.25">
      <c r="B200" s="2"/>
    </row>
    <row r="201" spans="1:2" x14ac:dyDescent="0.25">
      <c r="B201" s="2"/>
    </row>
    <row r="202" spans="1:2" x14ac:dyDescent="0.25">
      <c r="B202" s="2"/>
    </row>
    <row r="203" spans="1:2" x14ac:dyDescent="0.25">
      <c r="B203" s="2"/>
    </row>
    <row r="204" spans="1:2" x14ac:dyDescent="0.25">
      <c r="B204" s="2"/>
    </row>
    <row r="205" spans="1:2" x14ac:dyDescent="0.25">
      <c r="B205" s="2"/>
    </row>
    <row r="206" spans="1:2" x14ac:dyDescent="0.25">
      <c r="B206" s="2"/>
    </row>
    <row r="207" spans="1:2" x14ac:dyDescent="0.25">
      <c r="B207" s="2"/>
    </row>
    <row r="209" spans="1:25" x14ac:dyDescent="0.25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</row>
    <row r="211" spans="1:25" ht="15.75" x14ac:dyDescent="0.25">
      <c r="B211" t="s">
        <v>46</v>
      </c>
      <c r="K211" s="189" t="s">
        <v>131</v>
      </c>
    </row>
    <row r="212" spans="1:25" ht="15.75" x14ac:dyDescent="0.25">
      <c r="B212" t="s">
        <v>47</v>
      </c>
      <c r="K212" s="189" t="s">
        <v>132</v>
      </c>
    </row>
    <row r="215" spans="1:25" x14ac:dyDescent="0.25">
      <c r="D215" s="198">
        <f>D106</f>
        <v>0.9</v>
      </c>
      <c r="E215" t="s">
        <v>55</v>
      </c>
    </row>
    <row r="216" spans="1:25" x14ac:dyDescent="0.25">
      <c r="D216" s="198">
        <f t="shared" ref="D216:D217" si="26">D107</f>
        <v>0.96</v>
      </c>
      <c r="E216" t="s">
        <v>54</v>
      </c>
    </row>
    <row r="217" spans="1:25" x14ac:dyDescent="0.25">
      <c r="D217" s="198">
        <f t="shared" si="26"/>
        <v>85</v>
      </c>
      <c r="E217" t="s">
        <v>53</v>
      </c>
    </row>
    <row r="218" spans="1:25" x14ac:dyDescent="0.25">
      <c r="D218" s="78" t="s">
        <v>168</v>
      </c>
      <c r="E218" s="20" t="s">
        <v>69</v>
      </c>
    </row>
    <row r="219" spans="1:25" x14ac:dyDescent="0.25">
      <c r="E219" s="20" t="s">
        <v>169</v>
      </c>
    </row>
    <row r="220" spans="1:25" x14ac:dyDescent="0.25">
      <c r="C220" s="4"/>
      <c r="D220" s="4" t="s">
        <v>48</v>
      </c>
      <c r="E220" s="4" t="s">
        <v>49</v>
      </c>
      <c r="F220" s="4" t="s">
        <v>56</v>
      </c>
      <c r="G220" s="60" t="s">
        <v>10</v>
      </c>
      <c r="H220" s="4" t="s">
        <v>50</v>
      </c>
      <c r="J220" s="4" t="s">
        <v>51</v>
      </c>
      <c r="K220" s="4" t="s">
        <v>48</v>
      </c>
      <c r="L220" s="4" t="s">
        <v>49</v>
      </c>
      <c r="M220" s="4" t="s">
        <v>56</v>
      </c>
      <c r="N220" s="60" t="s">
        <v>10</v>
      </c>
      <c r="O220" s="4" t="s">
        <v>50</v>
      </c>
    </row>
    <row r="221" spans="1:25" x14ac:dyDescent="0.25">
      <c r="C221" s="4" t="s">
        <v>9</v>
      </c>
      <c r="D221" s="4" t="s">
        <v>52</v>
      </c>
      <c r="E221" s="4" t="s">
        <v>52</v>
      </c>
      <c r="F221" s="4" t="s">
        <v>57</v>
      </c>
      <c r="G221" s="4"/>
      <c r="H221" s="4"/>
      <c r="J221" s="56">
        <v>2.5</v>
      </c>
      <c r="K221" s="4" t="s">
        <v>52</v>
      </c>
      <c r="L221" s="4" t="s">
        <v>52</v>
      </c>
      <c r="M221" s="4" t="s">
        <v>57</v>
      </c>
      <c r="N221" s="4"/>
      <c r="O221" s="4"/>
    </row>
    <row r="222" spans="1:25" x14ac:dyDescent="0.25">
      <c r="C222" s="4">
        <v>1</v>
      </c>
      <c r="D222" s="62">
        <v>2.8</v>
      </c>
      <c r="E222" s="199">
        <f>'curve_rzeta_targetnu_2.5'!M222</f>
        <v>1.0058567176405746</v>
      </c>
      <c r="F222" s="63">
        <f>(E222*2)/C222</f>
        <v>2.0117134352811492</v>
      </c>
      <c r="G222" s="119">
        <f t="shared" ref="G222:G233" si="27">SQRT(12*32.2*F222^2/(4*$D$108*($D$107*56)*$D$106^2))</f>
        <v>0.32499230437317389</v>
      </c>
      <c r="H222" s="65">
        <f>E222/D222</f>
        <v>0.35923454201449095</v>
      </c>
      <c r="J222" s="1"/>
      <c r="K222" s="71">
        <f>D222+$J$221</f>
        <v>5.3</v>
      </c>
      <c r="L222" s="63">
        <f>E222+$J$221</f>
        <v>3.5058567176405746</v>
      </c>
      <c r="M222" s="63">
        <f>(L222*2)/C222</f>
        <v>7.0117134352811492</v>
      </c>
      <c r="N222" s="119">
        <f t="shared" ref="N222:N233" si="28">SQRT(12*32.2*M222^2/(4*$D$108*($D$107*56)*$D$106^2))</f>
        <v>1.1327423016478957</v>
      </c>
      <c r="O222" s="65">
        <f t="shared" ref="O222:O233" si="29">L222/K222</f>
        <v>0.66148239955482546</v>
      </c>
    </row>
    <row r="223" spans="1:25" x14ac:dyDescent="0.25">
      <c r="C223" s="4">
        <v>2</v>
      </c>
      <c r="D223" s="37">
        <v>3.8</v>
      </c>
      <c r="E223" s="199">
        <f>'curve_rzeta_targetnu_2.5'!M223</f>
        <v>2.4759549972691066</v>
      </c>
      <c r="F223" s="58">
        <f t="shared" ref="F223:F233" si="30">(E223*2)/C223</f>
        <v>2.4759549972691066</v>
      </c>
      <c r="G223" s="120">
        <f t="shared" si="27"/>
        <v>0.39999052845929095</v>
      </c>
      <c r="H223" s="57">
        <f t="shared" ref="H223:H233" si="31">E223/D223</f>
        <v>0.65156710454450173</v>
      </c>
      <c r="J223" s="1"/>
      <c r="K223" s="61">
        <f t="shared" ref="K223:L233" si="32">D223+$J$221</f>
        <v>6.3</v>
      </c>
      <c r="L223" s="58">
        <f>E223+$J$221</f>
        <v>4.9759549972691062</v>
      </c>
      <c r="M223" s="58">
        <f t="shared" ref="M223:M233" si="33">(L223*2)/C223</f>
        <v>4.9759549972691062</v>
      </c>
      <c r="N223" s="120">
        <f t="shared" si="28"/>
        <v>0.80386552709665182</v>
      </c>
      <c r="O223" s="57">
        <f t="shared" si="29"/>
        <v>0.78983412655065177</v>
      </c>
    </row>
    <row r="224" spans="1:25" x14ac:dyDescent="0.25">
      <c r="C224" s="4">
        <v>3</v>
      </c>
      <c r="D224" s="66">
        <v>4.8</v>
      </c>
      <c r="E224" s="199">
        <f>'curve_rzeta_targetnu_2.5'!M224</f>
        <v>4.0667560830145071</v>
      </c>
      <c r="F224" s="67">
        <f t="shared" si="30"/>
        <v>2.7111707220096712</v>
      </c>
      <c r="G224" s="121">
        <f t="shared" si="27"/>
        <v>0.43798962866292351</v>
      </c>
      <c r="H224" s="69">
        <f t="shared" si="31"/>
        <v>0.84724085062802235</v>
      </c>
      <c r="J224" s="1"/>
      <c r="K224" s="72">
        <f t="shared" si="32"/>
        <v>7.3</v>
      </c>
      <c r="L224" s="67">
        <f>E224+$J$221</f>
        <v>6.5667560830145071</v>
      </c>
      <c r="M224" s="67">
        <f t="shared" si="33"/>
        <v>4.3778373886763378</v>
      </c>
      <c r="N224" s="121">
        <f t="shared" si="28"/>
        <v>0.70723962775449734</v>
      </c>
      <c r="O224" s="69">
        <f t="shared" si="29"/>
        <v>0.89955562781020648</v>
      </c>
    </row>
    <row r="225" spans="3:15" x14ac:dyDescent="0.25">
      <c r="C225" s="4">
        <v>4</v>
      </c>
      <c r="D225" s="37">
        <v>5.7</v>
      </c>
      <c r="E225" s="199">
        <f>'curve_rzeta_targetnu_2.5'!M225</f>
        <v>5.657557168759908</v>
      </c>
      <c r="F225" s="58">
        <f t="shared" si="30"/>
        <v>2.828778584379954</v>
      </c>
      <c r="G225" s="120">
        <f t="shared" si="27"/>
        <v>0.45698917876473988</v>
      </c>
      <c r="H225" s="57">
        <f t="shared" si="31"/>
        <v>0.9925538892561242</v>
      </c>
      <c r="J225" s="1"/>
      <c r="K225" s="61">
        <f t="shared" si="32"/>
        <v>8.1999999999999993</v>
      </c>
      <c r="L225" s="58">
        <f t="shared" si="32"/>
        <v>8.157557168759908</v>
      </c>
      <c r="M225" s="58">
        <f t="shared" si="33"/>
        <v>4.078778584379954</v>
      </c>
      <c r="N225" s="120">
        <f t="shared" si="28"/>
        <v>0.65892667808342031</v>
      </c>
      <c r="O225" s="57">
        <f t="shared" si="29"/>
        <v>0.99482404497072052</v>
      </c>
    </row>
    <row r="226" spans="3:15" x14ac:dyDescent="0.25">
      <c r="C226" s="4">
        <v>5</v>
      </c>
      <c r="D226" s="37">
        <v>6.5</v>
      </c>
      <c r="E226" s="199">
        <f>'curve_rzeta_targetnu_2.5'!M226</f>
        <v>7.4278649918073194</v>
      </c>
      <c r="F226" s="58">
        <f t="shared" si="30"/>
        <v>2.9711459967229277</v>
      </c>
      <c r="G226" s="120">
        <f t="shared" si="27"/>
        <v>0.47998863415114912</v>
      </c>
      <c r="H226" s="57">
        <f t="shared" si="31"/>
        <v>1.1427484602780491</v>
      </c>
      <c r="J226" s="1"/>
      <c r="K226" s="61">
        <f t="shared" si="32"/>
        <v>9</v>
      </c>
      <c r="L226" s="58">
        <f t="shared" si="32"/>
        <v>9.9278649918073185</v>
      </c>
      <c r="M226" s="58">
        <f t="shared" si="33"/>
        <v>3.9711459967229272</v>
      </c>
      <c r="N226" s="120">
        <f t="shared" si="28"/>
        <v>0.64153863360609331</v>
      </c>
      <c r="O226" s="57">
        <f t="shared" si="29"/>
        <v>1.1030961102008132</v>
      </c>
    </row>
    <row r="227" spans="3:15" x14ac:dyDescent="0.25">
      <c r="C227" s="4">
        <v>10</v>
      </c>
      <c r="D227" s="66">
        <v>9.1</v>
      </c>
      <c r="E227" s="199">
        <f>'curve_rzeta_targetnu_2.5'!M227</f>
        <v>16.372252419441967</v>
      </c>
      <c r="F227" s="67">
        <f t="shared" si="30"/>
        <v>3.2744504838883932</v>
      </c>
      <c r="G227" s="121">
        <f t="shared" si="27"/>
        <v>0.52898747388741219</v>
      </c>
      <c r="H227" s="69">
        <f t="shared" si="31"/>
        <v>1.7991486175210953</v>
      </c>
      <c r="J227" s="1"/>
      <c r="K227" s="72">
        <f t="shared" si="32"/>
        <v>11.6</v>
      </c>
      <c r="L227" s="67">
        <f t="shared" si="32"/>
        <v>18.872252419441967</v>
      </c>
      <c r="M227" s="67">
        <f t="shared" si="33"/>
        <v>3.7744504838883932</v>
      </c>
      <c r="N227" s="121">
        <f t="shared" si="28"/>
        <v>0.60976247361488434</v>
      </c>
      <c r="O227" s="69">
        <f t="shared" si="29"/>
        <v>1.6269183120208592</v>
      </c>
    </row>
    <row r="228" spans="3:15" x14ac:dyDescent="0.25">
      <c r="C228" s="4">
        <v>20</v>
      </c>
      <c r="D228" s="37">
        <v>13.3</v>
      </c>
      <c r="E228" s="199">
        <f>'curve_rzeta_targetnu_2.5'!M228</f>
        <v>34.663369961767501</v>
      </c>
      <c r="F228" s="58">
        <f t="shared" si="30"/>
        <v>3.4663369961767501</v>
      </c>
      <c r="G228" s="120">
        <f t="shared" si="27"/>
        <v>0.5599867398430074</v>
      </c>
      <c r="H228" s="57">
        <f t="shared" si="31"/>
        <v>2.6062684181780074</v>
      </c>
      <c r="J228" s="1"/>
      <c r="K228" s="61">
        <f t="shared" si="32"/>
        <v>15.8</v>
      </c>
      <c r="L228" s="58">
        <f t="shared" si="32"/>
        <v>37.163369961767501</v>
      </c>
      <c r="M228" s="58">
        <f t="shared" si="33"/>
        <v>3.7163369961767501</v>
      </c>
      <c r="N228" s="120">
        <f t="shared" si="28"/>
        <v>0.60037423970674353</v>
      </c>
      <c r="O228" s="57">
        <f t="shared" si="29"/>
        <v>2.352112022896677</v>
      </c>
    </row>
    <row r="229" spans="3:15" x14ac:dyDescent="0.25">
      <c r="C229" s="4">
        <v>30</v>
      </c>
      <c r="D229" s="37">
        <v>17.7</v>
      </c>
      <c r="E229" s="199">
        <f>'curve_rzeta_targetnu_2.5'!M229</f>
        <v>53.202083003819922</v>
      </c>
      <c r="F229" s="58">
        <f t="shared" si="30"/>
        <v>3.5468055335879947</v>
      </c>
      <c r="G229" s="120">
        <f t="shared" si="27"/>
        <v>0.5729864320179342</v>
      </c>
      <c r="H229" s="57">
        <f t="shared" si="31"/>
        <v>3.0057674013457585</v>
      </c>
      <c r="J229" s="1"/>
      <c r="K229" s="61">
        <f t="shared" si="32"/>
        <v>20.2</v>
      </c>
      <c r="L229" s="58">
        <f t="shared" si="32"/>
        <v>55.702083003819922</v>
      </c>
      <c r="M229" s="58">
        <f t="shared" si="33"/>
        <v>3.7134722002546616</v>
      </c>
      <c r="N229" s="120">
        <f t="shared" si="28"/>
        <v>0.59991143192709162</v>
      </c>
      <c r="O229" s="57">
        <f t="shared" si="29"/>
        <v>2.7575288615752438</v>
      </c>
    </row>
    <row r="230" spans="3:15" x14ac:dyDescent="0.25">
      <c r="C230" s="4">
        <v>40</v>
      </c>
      <c r="D230" s="37">
        <v>22.1</v>
      </c>
      <c r="E230" s="199">
        <f>'curve_rzeta_targetnu_2.5'!M230</f>
        <v>71.8026949208041</v>
      </c>
      <c r="F230" s="58">
        <f t="shared" si="30"/>
        <v>3.5901347460402051</v>
      </c>
      <c r="G230" s="120">
        <f t="shared" si="27"/>
        <v>0.57998626626597194</v>
      </c>
      <c r="H230" s="57">
        <f t="shared" si="31"/>
        <v>3.2489907203983752</v>
      </c>
      <c r="J230" s="1"/>
      <c r="K230" s="61">
        <f t="shared" si="32"/>
        <v>24.6</v>
      </c>
      <c r="L230" s="58">
        <f t="shared" si="32"/>
        <v>74.3026949208041</v>
      </c>
      <c r="M230" s="58">
        <f t="shared" si="33"/>
        <v>3.7151347460402051</v>
      </c>
      <c r="N230" s="120">
        <f t="shared" si="28"/>
        <v>0.60018001619784</v>
      </c>
      <c r="O230" s="57">
        <f t="shared" si="29"/>
        <v>3.0204347528782152</v>
      </c>
    </row>
    <row r="231" spans="3:15" x14ac:dyDescent="0.25">
      <c r="C231" s="4">
        <v>50</v>
      </c>
      <c r="D231" s="37">
        <v>26.5</v>
      </c>
      <c r="E231" s="199">
        <f>'curve_rzeta_targetnu_2.5'!M231</f>
        <v>90.372357400322372</v>
      </c>
      <c r="F231" s="58">
        <f t="shared" si="30"/>
        <v>3.6148942960128947</v>
      </c>
      <c r="G231" s="120">
        <f t="shared" si="27"/>
        <v>0.58398617155056465</v>
      </c>
      <c r="H231" s="57">
        <f t="shared" si="31"/>
        <v>3.4102776377480142</v>
      </c>
      <c r="J231" s="1"/>
      <c r="K231" s="61">
        <f t="shared" si="32"/>
        <v>29</v>
      </c>
      <c r="L231" s="58">
        <f t="shared" si="32"/>
        <v>92.872357400322372</v>
      </c>
      <c r="M231" s="58">
        <f t="shared" si="33"/>
        <v>3.7148942960128948</v>
      </c>
      <c r="N231" s="120">
        <f t="shared" si="28"/>
        <v>0.60014117149605906</v>
      </c>
      <c r="O231" s="57">
        <f t="shared" si="29"/>
        <v>3.2024950827697372</v>
      </c>
    </row>
    <row r="232" spans="3:15" x14ac:dyDescent="0.25">
      <c r="C232" s="4">
        <v>60</v>
      </c>
      <c r="D232" s="37">
        <v>30.9</v>
      </c>
      <c r="E232" s="199">
        <f>'curve_rzeta_targetnu_2.5'!M232</f>
        <v>109.00391875477241</v>
      </c>
      <c r="F232" s="58">
        <f t="shared" si="30"/>
        <v>3.6334639584924138</v>
      </c>
      <c r="G232" s="120">
        <f t="shared" si="27"/>
        <v>0.58698610051400946</v>
      </c>
      <c r="H232" s="57">
        <f t="shared" si="31"/>
        <v>3.5276349111576835</v>
      </c>
      <c r="J232" s="1"/>
      <c r="K232" s="61">
        <f t="shared" si="32"/>
        <v>33.4</v>
      </c>
      <c r="L232" s="58">
        <f t="shared" si="32"/>
        <v>111.50391875477241</v>
      </c>
      <c r="M232" s="58">
        <f t="shared" si="33"/>
        <v>3.7167972918257473</v>
      </c>
      <c r="N232" s="120">
        <f t="shared" si="28"/>
        <v>0.60044860046858817</v>
      </c>
      <c r="O232" s="57">
        <f t="shared" si="29"/>
        <v>3.3384406812806113</v>
      </c>
    </row>
    <row r="233" spans="3:15" x14ac:dyDescent="0.25">
      <c r="C233" s="4">
        <v>70</v>
      </c>
      <c r="D233" s="66">
        <v>35.200000000000003</v>
      </c>
      <c r="E233" s="199">
        <f>'curve_rzeta_targetnu_2.5'!M233</f>
        <v>127.43121382194772</v>
      </c>
      <c r="F233" s="67">
        <f t="shared" si="30"/>
        <v>3.6408918234842207</v>
      </c>
      <c r="G233" s="121">
        <f t="shared" si="27"/>
        <v>0.58818607209938722</v>
      </c>
      <c r="H233" s="69">
        <f t="shared" si="31"/>
        <v>3.6202049381235146</v>
      </c>
      <c r="J233" s="1"/>
      <c r="K233" s="72">
        <f t="shared" si="32"/>
        <v>37.700000000000003</v>
      </c>
      <c r="L233" s="67">
        <f t="shared" si="32"/>
        <v>129.93121382194772</v>
      </c>
      <c r="M233" s="67">
        <f t="shared" si="33"/>
        <v>3.7123203949127919</v>
      </c>
      <c r="N233" s="121">
        <f t="shared" si="28"/>
        <v>0.59972535777474034</v>
      </c>
      <c r="O233" s="69">
        <f t="shared" si="29"/>
        <v>3.4464512950118755</v>
      </c>
    </row>
    <row r="234" spans="3:15" x14ac:dyDescent="0.25">
      <c r="C234" s="1"/>
      <c r="D234" s="37"/>
      <c r="E234" s="197"/>
      <c r="F234" s="58"/>
      <c r="G234" s="120"/>
      <c r="H234" s="57"/>
      <c r="J234" s="1"/>
      <c r="K234" s="61"/>
      <c r="L234" s="58"/>
      <c r="M234" s="58"/>
      <c r="N234" s="120"/>
      <c r="O234" s="57"/>
    </row>
    <row r="235" spans="3:15" x14ac:dyDescent="0.25">
      <c r="C235" s="1"/>
      <c r="D235" s="37"/>
      <c r="E235" s="197"/>
      <c r="F235" s="58"/>
      <c r="G235" s="120"/>
      <c r="H235" s="57"/>
      <c r="J235" s="1"/>
      <c r="K235" s="61"/>
      <c r="L235" s="58"/>
      <c r="M235" s="58"/>
      <c r="N235" s="120"/>
      <c r="O235" s="57"/>
    </row>
    <row r="236" spans="3:15" x14ac:dyDescent="0.25">
      <c r="C236" s="1"/>
      <c r="D236" s="37"/>
      <c r="E236" s="197"/>
      <c r="F236" s="58"/>
      <c r="G236" s="120"/>
      <c r="H236" s="57"/>
      <c r="J236" s="1"/>
      <c r="K236" s="61"/>
      <c r="L236" s="58"/>
      <c r="M236" s="58"/>
      <c r="N236" s="120"/>
      <c r="O236" s="57"/>
    </row>
    <row r="237" spans="3:15" x14ac:dyDescent="0.25">
      <c r="C237" s="1"/>
      <c r="D237" s="37"/>
      <c r="E237" s="197"/>
      <c r="F237" s="58"/>
      <c r="G237" s="120"/>
      <c r="H237" s="57"/>
      <c r="J237" s="1"/>
      <c r="K237" s="61"/>
      <c r="L237" s="58"/>
      <c r="M237" s="58"/>
      <c r="N237" s="120"/>
      <c r="O237" s="57"/>
    </row>
    <row r="238" spans="3:15" x14ac:dyDescent="0.25">
      <c r="C238" s="1"/>
      <c r="D238" s="37"/>
      <c r="E238" s="197"/>
      <c r="F238" s="58"/>
      <c r="G238" s="120"/>
      <c r="H238" s="57"/>
      <c r="J238" s="1"/>
      <c r="K238" s="61"/>
      <c r="L238" s="58"/>
      <c r="M238" s="58"/>
      <c r="N238" s="120"/>
      <c r="O238" s="57"/>
    </row>
    <row r="239" spans="3:15" x14ac:dyDescent="0.25">
      <c r="C239" s="1"/>
      <c r="D239" s="37"/>
      <c r="E239" s="197"/>
      <c r="F239" s="58"/>
      <c r="G239" s="120"/>
      <c r="H239" s="57"/>
      <c r="J239" s="1"/>
      <c r="K239" s="61"/>
      <c r="L239" s="58"/>
      <c r="M239" s="58"/>
      <c r="N239" s="120"/>
      <c r="O239" s="57"/>
    </row>
    <row r="240" spans="3:15" x14ac:dyDescent="0.25">
      <c r="C240" s="1"/>
      <c r="D240" s="37"/>
      <c r="E240" s="197"/>
      <c r="F240" s="58"/>
      <c r="G240" s="120"/>
      <c r="H240" s="57"/>
      <c r="J240" s="1"/>
      <c r="K240" s="61"/>
      <c r="L240" s="58"/>
      <c r="M240" s="58"/>
      <c r="N240" s="120"/>
      <c r="O240" s="57"/>
    </row>
    <row r="241" spans="3:15" x14ac:dyDescent="0.25">
      <c r="C241" s="1"/>
      <c r="D241" s="37"/>
      <c r="E241" s="197"/>
      <c r="F241" s="58"/>
      <c r="G241" s="120"/>
      <c r="H241" s="57"/>
      <c r="J241" s="1"/>
      <c r="K241" s="61"/>
      <c r="L241" s="58"/>
      <c r="M241" s="58"/>
      <c r="N241" s="120"/>
      <c r="O241" s="57"/>
    </row>
    <row r="242" spans="3:15" x14ac:dyDescent="0.25">
      <c r="C242" s="1"/>
      <c r="D242" s="37"/>
      <c r="E242" s="197"/>
      <c r="F242" s="58"/>
      <c r="G242" s="120"/>
      <c r="H242" s="57"/>
      <c r="J242" s="1"/>
      <c r="K242" s="61"/>
      <c r="L242" s="58"/>
      <c r="M242" s="58"/>
      <c r="N242" s="120"/>
      <c r="O242" s="57"/>
    </row>
    <row r="243" spans="3:15" x14ac:dyDescent="0.25">
      <c r="C243" s="1"/>
      <c r="D243" s="37"/>
      <c r="E243" s="197"/>
      <c r="F243" s="58"/>
      <c r="G243" s="120"/>
      <c r="H243" s="57"/>
      <c r="J243" s="1"/>
      <c r="K243" s="61"/>
      <c r="L243" s="58"/>
      <c r="M243" s="58"/>
      <c r="N243" s="120"/>
      <c r="O243" s="57"/>
    </row>
    <row r="244" spans="3:15" x14ac:dyDescent="0.25">
      <c r="C244" s="1"/>
      <c r="D244" s="37"/>
      <c r="E244" s="197"/>
      <c r="F244" s="58"/>
      <c r="G244" s="120"/>
      <c r="H244" s="57"/>
      <c r="J244" s="1"/>
      <c r="K244" s="61"/>
      <c r="L244" s="58"/>
      <c r="M244" s="58"/>
      <c r="N244" s="120"/>
      <c r="O244" s="57"/>
    </row>
    <row r="265" spans="1:19" x14ac:dyDescent="0.25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</row>
    <row r="267" spans="1:19" ht="15.75" x14ac:dyDescent="0.25">
      <c r="B267" t="s">
        <v>46</v>
      </c>
      <c r="K267" s="189" t="s">
        <v>131</v>
      </c>
    </row>
    <row r="268" spans="1:19" ht="15.75" x14ac:dyDescent="0.25">
      <c r="B268" t="s">
        <v>47</v>
      </c>
      <c r="K268" s="189" t="s">
        <v>132</v>
      </c>
    </row>
    <row r="271" spans="1:19" x14ac:dyDescent="0.25">
      <c r="D271" s="198">
        <f>D106</f>
        <v>0.9</v>
      </c>
      <c r="E271" t="s">
        <v>55</v>
      </c>
    </row>
    <row r="272" spans="1:19" x14ac:dyDescent="0.25">
      <c r="D272" s="198">
        <f t="shared" ref="D272:D273" si="34">D107</f>
        <v>0.96</v>
      </c>
      <c r="E272" t="s">
        <v>54</v>
      </c>
    </row>
    <row r="273" spans="3:21" x14ac:dyDescent="0.25">
      <c r="D273" s="198">
        <f t="shared" si="34"/>
        <v>85</v>
      </c>
      <c r="E273" t="s">
        <v>53</v>
      </c>
    </row>
    <row r="274" spans="3:21" x14ac:dyDescent="0.25">
      <c r="D274" s="78" t="s">
        <v>170</v>
      </c>
      <c r="E274" s="20" t="s">
        <v>69</v>
      </c>
    </row>
    <row r="275" spans="3:21" x14ac:dyDescent="0.25">
      <c r="E275" s="20" t="s">
        <v>171</v>
      </c>
    </row>
    <row r="276" spans="3:21" x14ac:dyDescent="0.25">
      <c r="C276" s="4"/>
      <c r="D276" s="4" t="s">
        <v>48</v>
      </c>
      <c r="E276" s="4" t="s">
        <v>49</v>
      </c>
      <c r="F276" s="4" t="s">
        <v>56</v>
      </c>
      <c r="G276" s="60" t="s">
        <v>10</v>
      </c>
      <c r="H276" s="4" t="s">
        <v>50</v>
      </c>
      <c r="J276" s="4" t="s">
        <v>51</v>
      </c>
      <c r="K276" s="4" t="s">
        <v>48</v>
      </c>
      <c r="L276" s="4" t="s">
        <v>49</v>
      </c>
      <c r="M276" s="4" t="s">
        <v>56</v>
      </c>
      <c r="N276" s="60" t="s">
        <v>10</v>
      </c>
      <c r="O276" s="4" t="s">
        <v>50</v>
      </c>
    </row>
    <row r="277" spans="3:21" x14ac:dyDescent="0.25">
      <c r="C277" s="4" t="s">
        <v>9</v>
      </c>
      <c r="D277" s="4" t="s">
        <v>52</v>
      </c>
      <c r="E277" s="4" t="s">
        <v>52</v>
      </c>
      <c r="F277" s="4" t="s">
        <v>57</v>
      </c>
      <c r="G277" s="4"/>
      <c r="H277" s="4"/>
      <c r="J277" s="56">
        <v>2.5</v>
      </c>
      <c r="K277" s="4" t="s">
        <v>52</v>
      </c>
      <c r="L277" s="4" t="s">
        <v>52</v>
      </c>
      <c r="M277" s="4" t="s">
        <v>57</v>
      </c>
      <c r="N277" s="4"/>
      <c r="O277" s="4"/>
    </row>
    <row r="278" spans="3:21" x14ac:dyDescent="0.25">
      <c r="C278" s="4">
        <v>1</v>
      </c>
      <c r="D278" s="62">
        <v>2.8</v>
      </c>
      <c r="E278" s="199">
        <f>'curve_rzeta_targetnu_2.5'!M278</f>
        <v>0.89753368651005117</v>
      </c>
      <c r="F278" s="63">
        <f>(E278*2)/C278</f>
        <v>1.7950673730201023</v>
      </c>
      <c r="G278" s="119">
        <f t="shared" ref="G278:G289" si="35">SQRT(12*32.2*F278^2/(4*$D$108*($D$107*56)*$D$106^2))</f>
        <v>0.28999313313298597</v>
      </c>
      <c r="H278" s="65">
        <f>E278/D278</f>
        <v>0.32054774518216117</v>
      </c>
      <c r="J278" s="1"/>
      <c r="K278" s="71">
        <f>D278+$J$277</f>
        <v>5.3</v>
      </c>
      <c r="L278" s="63">
        <f>E278+$J$277</f>
        <v>3.3975336865100512</v>
      </c>
      <c r="M278" s="63">
        <f>(L278*2)/C278</f>
        <v>6.7950673730201023</v>
      </c>
      <c r="N278" s="119">
        <f t="shared" ref="N278:N289" si="36">SQRT(12*32.2*M278^2/(4*$D$108*($D$107*56)*$D$106^2))</f>
        <v>1.0977431304077079</v>
      </c>
      <c r="O278" s="65">
        <f t="shared" ref="O278:O289" si="37">L278/K278</f>
        <v>0.64104409179434929</v>
      </c>
    </row>
    <row r="279" spans="3:21" x14ac:dyDescent="0.25">
      <c r="C279" s="4">
        <v>2</v>
      </c>
      <c r="D279" s="37">
        <v>3.8</v>
      </c>
      <c r="E279" s="199">
        <f>'curve_rzeta_targetnu_2.5'!M279</f>
        <v>2.2283594975421956</v>
      </c>
      <c r="F279" s="58">
        <f t="shared" ref="F279:F289" si="38">(E279*2)/C279</f>
        <v>2.2283594975421956</v>
      </c>
      <c r="G279" s="120">
        <f t="shared" si="35"/>
        <v>0.35999147561336176</v>
      </c>
      <c r="H279" s="57">
        <f t="shared" ref="H279:H289" si="39">E279/D279</f>
        <v>0.58641039409005147</v>
      </c>
      <c r="J279" s="1"/>
      <c r="K279" s="61">
        <f t="shared" ref="K279:K289" si="40">D279+$J$277</f>
        <v>6.3</v>
      </c>
      <c r="L279" s="58">
        <f t="shared" ref="L279:L289" si="41">E279+$J$277</f>
        <v>4.7283594975421952</v>
      </c>
      <c r="M279" s="58">
        <f t="shared" ref="M279:M289" si="42">(L279*2)/C279</f>
        <v>4.7283594975421952</v>
      </c>
      <c r="N279" s="120">
        <f t="shared" si="36"/>
        <v>0.76386647425072263</v>
      </c>
      <c r="O279" s="57">
        <f t="shared" si="37"/>
        <v>0.75053325357812628</v>
      </c>
    </row>
    <row r="280" spans="3:21" x14ac:dyDescent="0.25">
      <c r="C280" s="4">
        <v>3</v>
      </c>
      <c r="D280" s="66">
        <v>4.8</v>
      </c>
      <c r="E280" s="199">
        <f>'curve_rzeta_targetnu_2.5'!M280</f>
        <v>3.7139324959036601</v>
      </c>
      <c r="F280" s="67">
        <f t="shared" si="38"/>
        <v>2.4759549972691066</v>
      </c>
      <c r="G280" s="121">
        <f t="shared" si="35"/>
        <v>0.39999052845929095</v>
      </c>
      <c r="H280" s="69">
        <f t="shared" si="39"/>
        <v>0.7737359366465959</v>
      </c>
      <c r="J280" s="1"/>
      <c r="K280" s="72">
        <f t="shared" si="40"/>
        <v>7.3</v>
      </c>
      <c r="L280" s="67">
        <f t="shared" si="41"/>
        <v>6.2139324959036601</v>
      </c>
      <c r="M280" s="67">
        <f t="shared" si="42"/>
        <v>4.1426216639357731</v>
      </c>
      <c r="N280" s="121">
        <f t="shared" si="36"/>
        <v>0.66924052755086483</v>
      </c>
      <c r="O280" s="69">
        <f t="shared" si="37"/>
        <v>0.85122362957584385</v>
      </c>
    </row>
    <row r="281" spans="3:21" x14ac:dyDescent="0.25">
      <c r="C281" s="4">
        <v>4</v>
      </c>
      <c r="D281" s="37">
        <v>5.7</v>
      </c>
      <c r="E281" s="199">
        <f>'curve_rzeta_targetnu_2.5'!M281</f>
        <v>5.385202119060307</v>
      </c>
      <c r="F281" s="58">
        <f t="shared" si="38"/>
        <v>2.6926010595301535</v>
      </c>
      <c r="G281" s="120">
        <f t="shared" si="35"/>
        <v>0.43498969969947893</v>
      </c>
      <c r="H281" s="57">
        <f t="shared" si="39"/>
        <v>0.94477230158952752</v>
      </c>
      <c r="J281" s="1"/>
      <c r="K281" s="61">
        <f t="shared" si="40"/>
        <v>8.1999999999999993</v>
      </c>
      <c r="L281" s="58">
        <f t="shared" si="41"/>
        <v>7.885202119060307</v>
      </c>
      <c r="M281" s="58">
        <f t="shared" si="42"/>
        <v>3.9426010595301535</v>
      </c>
      <c r="N281" s="120">
        <f t="shared" si="36"/>
        <v>0.63692719901815931</v>
      </c>
      <c r="O281" s="57">
        <f t="shared" si="37"/>
        <v>0.96161001451954975</v>
      </c>
    </row>
    <row r="282" spans="3:21" x14ac:dyDescent="0.25">
      <c r="C282" s="4">
        <v>5</v>
      </c>
      <c r="D282" s="37">
        <v>6.5</v>
      </c>
      <c r="E282" s="199">
        <f>'curve_rzeta_targetnu_2.5'!M282</f>
        <v>7.0409970234840227</v>
      </c>
      <c r="F282" s="58">
        <f t="shared" si="38"/>
        <v>2.816398809393609</v>
      </c>
      <c r="G282" s="120">
        <f t="shared" si="35"/>
        <v>0.45498922612244352</v>
      </c>
      <c r="H282" s="57">
        <f t="shared" si="39"/>
        <v>1.0832303113052342</v>
      </c>
      <c r="J282" s="1"/>
      <c r="K282" s="61">
        <f t="shared" si="40"/>
        <v>9</v>
      </c>
      <c r="L282" s="58">
        <f t="shared" si="41"/>
        <v>9.5409970234840227</v>
      </c>
      <c r="M282" s="58">
        <f t="shared" si="42"/>
        <v>3.816398809393609</v>
      </c>
      <c r="N282" s="120">
        <f t="shared" si="36"/>
        <v>0.61653922557738783</v>
      </c>
      <c r="O282" s="57">
        <f t="shared" si="37"/>
        <v>1.0601107803871137</v>
      </c>
    </row>
    <row r="283" spans="3:21" x14ac:dyDescent="0.25">
      <c r="C283" s="4">
        <v>10</v>
      </c>
      <c r="D283" s="66">
        <v>9.1</v>
      </c>
      <c r="E283" s="199">
        <f>'curve_rzeta_targetnu_2.5'!M283</f>
        <v>14.824780546148775</v>
      </c>
      <c r="F283" s="67">
        <f t="shared" si="38"/>
        <v>2.9649561092297549</v>
      </c>
      <c r="G283" s="121">
        <f t="shared" si="35"/>
        <v>0.47898865783000089</v>
      </c>
      <c r="H283" s="69">
        <f t="shared" si="39"/>
        <v>1.6290967633130522</v>
      </c>
      <c r="J283" s="1"/>
      <c r="K283" s="72">
        <f t="shared" si="40"/>
        <v>11.6</v>
      </c>
      <c r="L283" s="67">
        <f t="shared" si="41"/>
        <v>17.324780546148773</v>
      </c>
      <c r="M283" s="67">
        <f t="shared" si="42"/>
        <v>3.4649561092297545</v>
      </c>
      <c r="N283" s="121">
        <f t="shared" si="36"/>
        <v>0.55976365755747304</v>
      </c>
      <c r="O283" s="69">
        <f t="shared" si="37"/>
        <v>1.4935155643231701</v>
      </c>
      <c r="T283">
        <f>333-278</f>
        <v>55</v>
      </c>
      <c r="U283">
        <f>265+55</f>
        <v>320</v>
      </c>
    </row>
    <row r="284" spans="3:21" x14ac:dyDescent="0.25">
      <c r="C284" s="4">
        <v>20</v>
      </c>
      <c r="D284" s="37">
        <v>13.3</v>
      </c>
      <c r="E284" s="199">
        <f>'curve_rzeta_targetnu_2.5'!M284</f>
        <v>31.568426215181109</v>
      </c>
      <c r="F284" s="58">
        <f t="shared" si="38"/>
        <v>3.1568426215181109</v>
      </c>
      <c r="G284" s="120">
        <f t="shared" si="35"/>
        <v>0.50998792378559599</v>
      </c>
      <c r="H284" s="57">
        <f t="shared" si="39"/>
        <v>2.373565880840685</v>
      </c>
      <c r="J284" s="1"/>
      <c r="K284" s="61">
        <f t="shared" si="40"/>
        <v>15.8</v>
      </c>
      <c r="L284" s="58">
        <f t="shared" si="41"/>
        <v>34.068426215181105</v>
      </c>
      <c r="M284" s="58">
        <f t="shared" si="42"/>
        <v>3.4068426215181105</v>
      </c>
      <c r="N284" s="120">
        <f t="shared" si="36"/>
        <v>0.55037542364933201</v>
      </c>
      <c r="O284" s="57">
        <f t="shared" si="37"/>
        <v>2.1562295072899431</v>
      </c>
    </row>
    <row r="285" spans="3:21" x14ac:dyDescent="0.25">
      <c r="C285" s="4">
        <v>30</v>
      </c>
      <c r="D285" s="37">
        <v>17.7</v>
      </c>
      <c r="E285" s="199">
        <f>'curve_rzeta_targetnu_2.5'!M285</f>
        <v>48.559667383940351</v>
      </c>
      <c r="F285" s="58">
        <f t="shared" si="38"/>
        <v>3.2373111589293568</v>
      </c>
      <c r="G285" s="120">
        <f t="shared" si="35"/>
        <v>0.5229876159605229</v>
      </c>
      <c r="H285" s="57">
        <f t="shared" si="39"/>
        <v>2.7434840329909802</v>
      </c>
      <c r="J285" s="1"/>
      <c r="K285" s="61">
        <f t="shared" si="40"/>
        <v>20.2</v>
      </c>
      <c r="L285" s="58">
        <f t="shared" si="41"/>
        <v>51.059667383940351</v>
      </c>
      <c r="M285" s="58">
        <f t="shared" si="42"/>
        <v>3.4039778255960234</v>
      </c>
      <c r="N285" s="120">
        <f t="shared" si="36"/>
        <v>0.54991261586968021</v>
      </c>
      <c r="O285" s="57">
        <f t="shared" si="37"/>
        <v>2.5277063061356611</v>
      </c>
    </row>
    <row r="286" spans="3:21" x14ac:dyDescent="0.25">
      <c r="C286" s="4">
        <v>40</v>
      </c>
      <c r="D286" s="37">
        <v>22.1</v>
      </c>
      <c r="E286" s="199">
        <f>'curve_rzeta_targetnu_2.5'!M286</f>
        <v>65.612807427631324</v>
      </c>
      <c r="F286" s="58">
        <f t="shared" si="38"/>
        <v>3.2806403713815664</v>
      </c>
      <c r="G286" s="120">
        <f t="shared" si="35"/>
        <v>0.52998745020856053</v>
      </c>
      <c r="H286" s="57">
        <f t="shared" si="39"/>
        <v>2.9689053134674803</v>
      </c>
      <c r="J286" s="1"/>
      <c r="K286" s="61">
        <f t="shared" si="40"/>
        <v>24.6</v>
      </c>
      <c r="L286" s="58">
        <f t="shared" si="41"/>
        <v>68.112807427631324</v>
      </c>
      <c r="M286" s="58">
        <f t="shared" si="42"/>
        <v>3.4056403713815664</v>
      </c>
      <c r="N286" s="120">
        <f t="shared" si="36"/>
        <v>0.55018120014042859</v>
      </c>
      <c r="O286" s="57">
        <f t="shared" si="37"/>
        <v>2.7688133100663137</v>
      </c>
    </row>
    <row r="287" spans="3:21" x14ac:dyDescent="0.25">
      <c r="C287" s="4">
        <v>50</v>
      </c>
      <c r="D287" s="37">
        <v>26.5</v>
      </c>
      <c r="E287" s="199">
        <f>'curve_rzeta_targetnu_2.5'!M287</f>
        <v>82.634998033856419</v>
      </c>
      <c r="F287" s="58">
        <f t="shared" si="38"/>
        <v>3.3053999213542569</v>
      </c>
      <c r="G287" s="120">
        <f t="shared" si="35"/>
        <v>0.53398735549315335</v>
      </c>
      <c r="H287" s="57">
        <f t="shared" si="39"/>
        <v>3.1183018125983555</v>
      </c>
      <c r="J287" s="1"/>
      <c r="K287" s="61">
        <f t="shared" si="40"/>
        <v>29</v>
      </c>
      <c r="L287" s="58">
        <f t="shared" si="41"/>
        <v>85.134998033856419</v>
      </c>
      <c r="M287" s="58">
        <f t="shared" si="42"/>
        <v>3.405399921354257</v>
      </c>
      <c r="N287" s="120">
        <f t="shared" si="36"/>
        <v>0.55014235543864776</v>
      </c>
      <c r="O287" s="57">
        <f t="shared" si="37"/>
        <v>2.9356895873743594</v>
      </c>
    </row>
    <row r="288" spans="3:21" x14ac:dyDescent="0.25">
      <c r="C288" s="4">
        <v>60</v>
      </c>
      <c r="D288" s="37">
        <v>30.9</v>
      </c>
      <c r="E288" s="199">
        <f>'curve_rzeta_targetnu_2.5'!M288</f>
        <v>99.719087515013285</v>
      </c>
      <c r="F288" s="58">
        <f t="shared" si="38"/>
        <v>3.3239695838337764</v>
      </c>
      <c r="G288" s="120">
        <f t="shared" si="35"/>
        <v>0.53698728445659827</v>
      </c>
      <c r="H288" s="57">
        <f t="shared" si="39"/>
        <v>3.2271549357609479</v>
      </c>
      <c r="J288" s="1"/>
      <c r="K288" s="61">
        <f t="shared" si="40"/>
        <v>33.4</v>
      </c>
      <c r="L288" s="58">
        <f t="shared" si="41"/>
        <v>102.21908751501329</v>
      </c>
      <c r="M288" s="58">
        <f t="shared" si="42"/>
        <v>3.4073029171671094</v>
      </c>
      <c r="N288" s="120">
        <f t="shared" si="36"/>
        <v>0.55044978441117687</v>
      </c>
      <c r="O288" s="57">
        <f t="shared" si="37"/>
        <v>3.0604517220063858</v>
      </c>
    </row>
    <row r="289" spans="3:15" x14ac:dyDescent="0.25">
      <c r="C289" s="4">
        <v>70</v>
      </c>
      <c r="D289" s="66">
        <v>35.200000000000003</v>
      </c>
      <c r="E289" s="199">
        <f>'curve_rzeta_targetnu_2.5'!M289</f>
        <v>116.55558149644321</v>
      </c>
      <c r="F289" s="67">
        <f t="shared" si="38"/>
        <v>3.3301594713269487</v>
      </c>
      <c r="G289" s="121">
        <f t="shared" si="35"/>
        <v>0.53798726077774639</v>
      </c>
      <c r="H289" s="69">
        <f t="shared" si="39"/>
        <v>3.3112381106944091</v>
      </c>
      <c r="J289" s="1"/>
      <c r="K289" s="72">
        <f t="shared" si="40"/>
        <v>37.700000000000003</v>
      </c>
      <c r="L289" s="67">
        <f t="shared" si="41"/>
        <v>119.05558149644321</v>
      </c>
      <c r="M289" s="67">
        <f t="shared" si="42"/>
        <v>3.4015880427555203</v>
      </c>
      <c r="N289" s="121">
        <f t="shared" si="36"/>
        <v>0.54952654645309951</v>
      </c>
      <c r="O289" s="69">
        <f t="shared" si="37"/>
        <v>3.1579729839905357</v>
      </c>
    </row>
    <row r="320" spans="1:19" x14ac:dyDescent="0.2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</row>
    <row r="322" spans="2:15" ht="15.75" x14ac:dyDescent="0.25">
      <c r="B322" t="s">
        <v>46</v>
      </c>
      <c r="K322" s="189" t="s">
        <v>131</v>
      </c>
    </row>
    <row r="323" spans="2:15" ht="15.75" x14ac:dyDescent="0.25">
      <c r="B323" t="s">
        <v>47</v>
      </c>
      <c r="K323" s="189" t="s">
        <v>132</v>
      </c>
    </row>
    <row r="326" spans="2:15" x14ac:dyDescent="0.25">
      <c r="D326" s="198">
        <f>D161</f>
        <v>0.9</v>
      </c>
      <c r="E326" t="s">
        <v>55</v>
      </c>
    </row>
    <row r="327" spans="2:15" x14ac:dyDescent="0.25">
      <c r="D327" s="198">
        <f t="shared" ref="D327:D328" si="43">D162</f>
        <v>0.96</v>
      </c>
      <c r="E327" t="s">
        <v>54</v>
      </c>
    </row>
    <row r="328" spans="2:15" x14ac:dyDescent="0.25">
      <c r="D328" s="198">
        <f t="shared" si="43"/>
        <v>85</v>
      </c>
      <c r="E328" t="s">
        <v>53</v>
      </c>
    </row>
    <row r="329" spans="2:15" x14ac:dyDescent="0.25">
      <c r="D329" s="78" t="s">
        <v>170</v>
      </c>
      <c r="E329" s="20" t="s">
        <v>69</v>
      </c>
    </row>
    <row r="330" spans="2:15" x14ac:dyDescent="0.25">
      <c r="E330" s="20" t="s">
        <v>171</v>
      </c>
    </row>
    <row r="331" spans="2:15" x14ac:dyDescent="0.25">
      <c r="C331" s="4"/>
      <c r="D331" s="4" t="s">
        <v>48</v>
      </c>
      <c r="E331" s="4" t="s">
        <v>49</v>
      </c>
      <c r="F331" s="4" t="s">
        <v>56</v>
      </c>
      <c r="G331" s="60" t="s">
        <v>10</v>
      </c>
      <c r="H331" s="4" t="s">
        <v>50</v>
      </c>
      <c r="J331" s="4" t="s">
        <v>51</v>
      </c>
      <c r="K331" s="4" t="s">
        <v>48</v>
      </c>
      <c r="L331" s="4" t="s">
        <v>49</v>
      </c>
      <c r="M331" s="4" t="s">
        <v>56</v>
      </c>
      <c r="N331" s="60" t="s">
        <v>10</v>
      </c>
      <c r="O331" s="4" t="s">
        <v>50</v>
      </c>
    </row>
    <row r="332" spans="2:15" x14ac:dyDescent="0.25">
      <c r="C332" s="4" t="s">
        <v>9</v>
      </c>
      <c r="D332" s="4" t="s">
        <v>52</v>
      </c>
      <c r="E332" s="4" t="s">
        <v>52</v>
      </c>
      <c r="F332" s="4" t="s">
        <v>57</v>
      </c>
      <c r="G332" s="4"/>
      <c r="H332" s="4"/>
      <c r="J332" s="56">
        <v>2.5</v>
      </c>
      <c r="K332" s="4" t="s">
        <v>52</v>
      </c>
      <c r="L332" s="4" t="s">
        <v>52</v>
      </c>
      <c r="M332" s="4" t="s">
        <v>57</v>
      </c>
      <c r="N332" s="4"/>
      <c r="O332" s="4"/>
    </row>
    <row r="333" spans="2:15" x14ac:dyDescent="0.25">
      <c r="C333" s="4">
        <v>1</v>
      </c>
      <c r="D333" s="62">
        <v>2.8</v>
      </c>
      <c r="E333" s="199">
        <f>'curve_rzeta_targetnu_2.5'!M333</f>
        <v>0.80468537411245966</v>
      </c>
      <c r="F333" s="63">
        <f>(E333*2)/C333</f>
        <v>1.6093707482249193</v>
      </c>
      <c r="G333" s="119">
        <f t="shared" ref="G333:G344" si="44">SQRT(12*32.2*F333^2/(4*$D$108*($D$107*56)*$D$106^2))</f>
        <v>0.2599938434985391</v>
      </c>
      <c r="H333" s="65">
        <f>E333/D333</f>
        <v>0.28738763361159275</v>
      </c>
      <c r="J333" s="1"/>
      <c r="K333" s="71">
        <f>D333+$J$332</f>
        <v>5.3</v>
      </c>
      <c r="L333" s="63">
        <f>E333+$J$332</f>
        <v>3.3046853741124598</v>
      </c>
      <c r="M333" s="63">
        <f>(L333*2)/C333</f>
        <v>6.6093707482249195</v>
      </c>
      <c r="N333" s="119">
        <f t="shared" ref="N333:N344" si="45">SQRT(12*32.2*M333^2/(4*$D$108*($D$107*56)*$D$106^2))</f>
        <v>1.0677438407732609</v>
      </c>
      <c r="O333" s="65">
        <f t="shared" ref="O333:O344" si="46">L333/K333</f>
        <v>0.62352554228536983</v>
      </c>
    </row>
    <row r="334" spans="2:15" x14ac:dyDescent="0.25">
      <c r="C334" s="4">
        <v>2</v>
      </c>
      <c r="D334" s="37">
        <v>3.8</v>
      </c>
      <c r="E334" s="199">
        <f>'curve_rzeta_targetnu_2.5'!M334</f>
        <v>2.073612310212877</v>
      </c>
      <c r="F334" s="58">
        <f t="shared" ref="F334:F344" si="47">(E334*2)/C334</f>
        <v>2.073612310212877</v>
      </c>
      <c r="G334" s="120">
        <f t="shared" si="44"/>
        <v>0.33499206758465616</v>
      </c>
      <c r="H334" s="57">
        <f t="shared" ref="H334:H344" si="48">E334/D334</f>
        <v>0.54568745005602026</v>
      </c>
      <c r="J334" s="1"/>
      <c r="K334" s="61">
        <f t="shared" ref="K334:K344" si="49">D334+$J$332</f>
        <v>6.3</v>
      </c>
      <c r="L334" s="58">
        <f t="shared" ref="L334:L344" si="50">E334+$J$332</f>
        <v>4.5736123102128765</v>
      </c>
      <c r="M334" s="58">
        <f t="shared" ref="M334:M344" si="51">(L334*2)/C334</f>
        <v>4.5736123102128765</v>
      </c>
      <c r="N334" s="120">
        <f t="shared" si="45"/>
        <v>0.73886706622201703</v>
      </c>
      <c r="O334" s="57">
        <f t="shared" si="46"/>
        <v>0.72597020797029788</v>
      </c>
    </row>
    <row r="335" spans="2:15" x14ac:dyDescent="0.25">
      <c r="C335" s="4">
        <v>3</v>
      </c>
      <c r="D335" s="66">
        <v>4.8</v>
      </c>
      <c r="E335" s="199">
        <f>'curve_rzeta_targetnu_2.5'!M335</f>
        <v>3.4818117149096812</v>
      </c>
      <c r="F335" s="67">
        <f t="shared" si="47"/>
        <v>2.3212078099397875</v>
      </c>
      <c r="G335" s="121">
        <f t="shared" si="44"/>
        <v>0.37499112043058525</v>
      </c>
      <c r="H335" s="69">
        <f t="shared" si="48"/>
        <v>0.72537744060618359</v>
      </c>
      <c r="J335" s="1"/>
      <c r="K335" s="72">
        <f t="shared" si="49"/>
        <v>7.3</v>
      </c>
      <c r="L335" s="67">
        <f t="shared" si="50"/>
        <v>5.9818117149096812</v>
      </c>
      <c r="M335" s="67">
        <f t="shared" si="51"/>
        <v>3.987874476606454</v>
      </c>
      <c r="N335" s="121">
        <f t="shared" si="45"/>
        <v>0.64424111952215912</v>
      </c>
      <c r="O335" s="69">
        <f t="shared" si="46"/>
        <v>0.8194262623163947</v>
      </c>
    </row>
    <row r="336" spans="2:15" x14ac:dyDescent="0.25">
      <c r="C336" s="4">
        <v>4</v>
      </c>
      <c r="D336" s="37">
        <v>5.7</v>
      </c>
      <c r="E336" s="199">
        <f>'curve_rzeta_targetnu_2.5'!M336</f>
        <v>4.9519099945382132</v>
      </c>
      <c r="F336" s="58">
        <f t="shared" si="47"/>
        <v>2.4759549972691066</v>
      </c>
      <c r="G336" s="120">
        <f t="shared" si="44"/>
        <v>0.39999052845929095</v>
      </c>
      <c r="H336" s="57">
        <f t="shared" si="48"/>
        <v>0.86875613939266894</v>
      </c>
      <c r="J336" s="1"/>
      <c r="K336" s="61">
        <f t="shared" si="49"/>
        <v>8.1999999999999993</v>
      </c>
      <c r="L336" s="58">
        <f t="shared" si="50"/>
        <v>7.4519099945382132</v>
      </c>
      <c r="M336" s="58">
        <f t="shared" si="51"/>
        <v>3.7259549972691066</v>
      </c>
      <c r="N336" s="120">
        <f t="shared" si="45"/>
        <v>0.60192802777797139</v>
      </c>
      <c r="O336" s="57">
        <f t="shared" si="46"/>
        <v>0.9087695115290505</v>
      </c>
    </row>
    <row r="337" spans="1:21" x14ac:dyDescent="0.25">
      <c r="C337" s="4">
        <v>5</v>
      </c>
      <c r="D337" s="37">
        <v>6.5</v>
      </c>
      <c r="E337" s="199">
        <f>'curve_rzeta_targetnu_2.5'!M337</f>
        <v>6.4220082741667452</v>
      </c>
      <c r="F337" s="58">
        <f t="shared" si="47"/>
        <v>2.568803309666698</v>
      </c>
      <c r="G337" s="120">
        <f t="shared" si="44"/>
        <v>0.41499017327651433</v>
      </c>
      <c r="H337" s="57">
        <f t="shared" si="48"/>
        <v>0.98800127294873008</v>
      </c>
      <c r="J337" s="1"/>
      <c r="K337" s="61">
        <f t="shared" si="49"/>
        <v>9</v>
      </c>
      <c r="L337" s="58">
        <f t="shared" si="50"/>
        <v>8.9220082741667461</v>
      </c>
      <c r="M337" s="58">
        <f t="shared" si="51"/>
        <v>3.5688033096666985</v>
      </c>
      <c r="N337" s="120">
        <f t="shared" si="45"/>
        <v>0.57654017273145874</v>
      </c>
      <c r="O337" s="57">
        <f t="shared" si="46"/>
        <v>0.99133425268519404</v>
      </c>
    </row>
    <row r="338" spans="1:21" x14ac:dyDescent="0.25">
      <c r="C338" s="4">
        <v>10</v>
      </c>
      <c r="D338" s="66">
        <v>9.1</v>
      </c>
      <c r="E338" s="199">
        <f>'curve_rzeta_targetnu_2.5'!M338</f>
        <v>13.772499672309406</v>
      </c>
      <c r="F338" s="67">
        <f t="shared" si="47"/>
        <v>2.7544999344618812</v>
      </c>
      <c r="G338" s="121">
        <f t="shared" si="44"/>
        <v>0.4449894629109612</v>
      </c>
      <c r="H338" s="69">
        <f t="shared" si="48"/>
        <v>1.5134615024515832</v>
      </c>
      <c r="J338" s="1"/>
      <c r="K338" s="72">
        <f t="shared" si="49"/>
        <v>11.6</v>
      </c>
      <c r="L338" s="67">
        <f t="shared" si="50"/>
        <v>16.272499672309408</v>
      </c>
      <c r="M338" s="67">
        <f t="shared" si="51"/>
        <v>3.2544999344618817</v>
      </c>
      <c r="N338" s="121">
        <f t="shared" si="45"/>
        <v>0.52576446263843346</v>
      </c>
      <c r="O338" s="69">
        <f t="shared" si="46"/>
        <v>1.4028016958887422</v>
      </c>
      <c r="T338">
        <f>333-278</f>
        <v>55</v>
      </c>
      <c r="U338">
        <f>265+55</f>
        <v>320</v>
      </c>
    </row>
    <row r="339" spans="1:21" x14ac:dyDescent="0.25">
      <c r="C339" s="4">
        <v>20</v>
      </c>
      <c r="D339" s="37">
        <v>13.3</v>
      </c>
      <c r="E339" s="199">
        <f>'curve_rzeta_targetnu_2.5'!M339</f>
        <v>29.030572342980271</v>
      </c>
      <c r="F339" s="58">
        <f t="shared" si="47"/>
        <v>2.9030572342980272</v>
      </c>
      <c r="G339" s="120">
        <f t="shared" si="44"/>
        <v>0.46898889461851861</v>
      </c>
      <c r="H339" s="57">
        <f t="shared" si="48"/>
        <v>2.1827498002240806</v>
      </c>
      <c r="J339" s="1"/>
      <c r="K339" s="61">
        <f t="shared" si="49"/>
        <v>15.8</v>
      </c>
      <c r="L339" s="58">
        <f t="shared" si="50"/>
        <v>31.530572342980271</v>
      </c>
      <c r="M339" s="58">
        <f t="shared" si="51"/>
        <v>3.1530572342980272</v>
      </c>
      <c r="N339" s="120">
        <f t="shared" si="45"/>
        <v>0.50937639448225469</v>
      </c>
      <c r="O339" s="57">
        <f t="shared" si="46"/>
        <v>1.9956058444924221</v>
      </c>
    </row>
    <row r="340" spans="1:21" x14ac:dyDescent="0.25">
      <c r="C340" s="4">
        <v>30</v>
      </c>
      <c r="D340" s="37">
        <v>17.7</v>
      </c>
      <c r="E340" s="199">
        <f>'curve_rzeta_targetnu_2.5'!M340</f>
        <v>44.335069169849938</v>
      </c>
      <c r="F340" s="58">
        <f t="shared" si="47"/>
        <v>2.9556712779899956</v>
      </c>
      <c r="G340" s="120">
        <f t="shared" si="44"/>
        <v>0.47748869334827848</v>
      </c>
      <c r="H340" s="57">
        <f t="shared" si="48"/>
        <v>2.5048061677881321</v>
      </c>
      <c r="J340" s="1"/>
      <c r="K340" s="61">
        <f t="shared" si="49"/>
        <v>20.2</v>
      </c>
      <c r="L340" s="58">
        <f t="shared" si="50"/>
        <v>46.835069169849938</v>
      </c>
      <c r="M340" s="58">
        <f t="shared" si="51"/>
        <v>3.1223379446566626</v>
      </c>
      <c r="N340" s="120">
        <f t="shared" si="45"/>
        <v>0.50441369325743601</v>
      </c>
      <c r="O340" s="57">
        <f t="shared" si="46"/>
        <v>2.3185677806856404</v>
      </c>
    </row>
    <row r="341" spans="1:21" x14ac:dyDescent="0.25">
      <c r="C341" s="4">
        <v>40</v>
      </c>
      <c r="D341" s="37">
        <v>22.1</v>
      </c>
      <c r="E341" s="199">
        <f>'curve_rzeta_targetnu_2.5'!M341</f>
        <v>59.918110933912374</v>
      </c>
      <c r="F341" s="58">
        <f t="shared" si="47"/>
        <v>2.9959055466956186</v>
      </c>
      <c r="G341" s="120">
        <f t="shared" si="44"/>
        <v>0.48398853943574194</v>
      </c>
      <c r="H341" s="57">
        <f t="shared" si="48"/>
        <v>2.7112267390910576</v>
      </c>
      <c r="J341" s="1"/>
      <c r="K341" s="61">
        <f t="shared" si="49"/>
        <v>24.6</v>
      </c>
      <c r="L341" s="58">
        <f t="shared" si="50"/>
        <v>62.418110933912374</v>
      </c>
      <c r="M341" s="58">
        <f t="shared" si="51"/>
        <v>3.1209055466956186</v>
      </c>
      <c r="N341" s="120">
        <f t="shared" si="45"/>
        <v>0.50418228936761011</v>
      </c>
      <c r="O341" s="57">
        <f t="shared" si="46"/>
        <v>2.5373215826793647</v>
      </c>
    </row>
    <row r="342" spans="1:21" x14ac:dyDescent="0.25">
      <c r="C342" s="4">
        <v>50</v>
      </c>
      <c r="D342" s="37">
        <v>26.5</v>
      </c>
      <c r="E342" s="199">
        <f>'curve_rzeta_targetnu_2.5'!M342</f>
        <v>75.129759448384448</v>
      </c>
      <c r="F342" s="58">
        <f t="shared" si="47"/>
        <v>3.0051903779353779</v>
      </c>
      <c r="G342" s="120">
        <f t="shared" si="44"/>
        <v>0.48548850391746434</v>
      </c>
      <c r="H342" s="57">
        <f t="shared" si="48"/>
        <v>2.8350852622031866</v>
      </c>
      <c r="J342" s="1"/>
      <c r="K342" s="61">
        <f t="shared" si="49"/>
        <v>29</v>
      </c>
      <c r="L342" s="58">
        <f t="shared" si="50"/>
        <v>77.629759448384448</v>
      </c>
      <c r="M342" s="58">
        <f t="shared" si="51"/>
        <v>3.105190377935378</v>
      </c>
      <c r="N342" s="120">
        <f t="shared" si="45"/>
        <v>0.50164350386295875</v>
      </c>
      <c r="O342" s="57">
        <f t="shared" si="46"/>
        <v>2.6768882568408432</v>
      </c>
    </row>
    <row r="343" spans="1:21" x14ac:dyDescent="0.25">
      <c r="C343" s="4">
        <v>60</v>
      </c>
      <c r="D343" s="37">
        <v>30.9</v>
      </c>
      <c r="E343" s="199">
        <f>'curve_rzeta_targetnu_2.5'!M343</f>
        <v>90.434256275254114</v>
      </c>
      <c r="F343" s="58">
        <f t="shared" si="47"/>
        <v>3.0144752091751372</v>
      </c>
      <c r="G343" s="120">
        <f t="shared" si="44"/>
        <v>0.48698846839918675</v>
      </c>
      <c r="H343" s="57">
        <f t="shared" si="48"/>
        <v>2.926674960364211</v>
      </c>
      <c r="J343" s="1"/>
      <c r="K343" s="61">
        <f t="shared" si="49"/>
        <v>33.4</v>
      </c>
      <c r="L343" s="58">
        <f t="shared" si="50"/>
        <v>92.934256275254114</v>
      </c>
      <c r="M343" s="58">
        <f t="shared" si="51"/>
        <v>3.0978085425084703</v>
      </c>
      <c r="N343" s="120">
        <f t="shared" si="45"/>
        <v>0.50045096835376535</v>
      </c>
      <c r="O343" s="57">
        <f t="shared" si="46"/>
        <v>2.7824627627321594</v>
      </c>
    </row>
    <row r="344" spans="1:21" x14ac:dyDescent="0.25">
      <c r="C344" s="4">
        <v>70</v>
      </c>
      <c r="D344" s="66">
        <v>35.200000000000003</v>
      </c>
      <c r="E344" s="199">
        <f>'curve_rzeta_targetnu_2.5'!M344</f>
        <v>105.83160141452136</v>
      </c>
      <c r="F344" s="67">
        <f t="shared" si="47"/>
        <v>3.0237600404148961</v>
      </c>
      <c r="G344" s="121">
        <f t="shared" si="44"/>
        <v>0.48848843288090898</v>
      </c>
      <c r="H344" s="69">
        <f t="shared" si="48"/>
        <v>3.0065795856398112</v>
      </c>
      <c r="J344" s="1"/>
      <c r="K344" s="72">
        <f t="shared" si="49"/>
        <v>37.700000000000003</v>
      </c>
      <c r="L344" s="67">
        <f t="shared" si="50"/>
        <v>108.33160141452136</v>
      </c>
      <c r="M344" s="67">
        <f t="shared" si="51"/>
        <v>3.0951886118434673</v>
      </c>
      <c r="N344" s="121">
        <f t="shared" si="45"/>
        <v>0.50002771855626216</v>
      </c>
      <c r="O344" s="69">
        <f t="shared" si="46"/>
        <v>2.8735172788997705</v>
      </c>
    </row>
    <row r="350" spans="1:21" x14ac:dyDescent="0.25">
      <c r="A350" t="s">
        <v>180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388B4-31BF-44C3-ACF3-F55B8E3B0779}">
  <sheetPr transitionEvaluation="1" transitionEntry="1">
    <pageSetUpPr fitToPage="1"/>
  </sheetPr>
  <dimension ref="A2:Y235"/>
  <sheetViews>
    <sheetView showGridLines="0" topLeftCell="A185" zoomScale="80" zoomScaleNormal="80" workbookViewId="0"/>
  </sheetViews>
  <sheetFormatPr defaultRowHeight="15" x14ac:dyDescent="0.25"/>
  <cols>
    <col min="1" max="12" width="9.28515625" customWidth="1"/>
    <col min="13" max="13" width="10.85546875" customWidth="1"/>
    <col min="14" max="14" width="9.28515625" customWidth="1"/>
    <col min="15" max="15" width="10.140625" customWidth="1"/>
    <col min="16" max="20" width="9.28515625" customWidth="1"/>
    <col min="21" max="21" width="13" customWidth="1"/>
    <col min="22" max="37" width="9.28515625" customWidth="1"/>
  </cols>
  <sheetData>
    <row r="2" spans="1:22" x14ac:dyDescent="0.25">
      <c r="A2" t="s">
        <v>0</v>
      </c>
      <c r="B2" t="s">
        <v>46</v>
      </c>
    </row>
    <row r="3" spans="1:22" x14ac:dyDescent="0.25">
      <c r="A3" t="s">
        <v>1</v>
      </c>
    </row>
    <row r="4" spans="1:22" x14ac:dyDescent="0.25">
      <c r="A4" t="s">
        <v>2</v>
      </c>
    </row>
    <row r="6" spans="1:22" x14ac:dyDescent="0.25">
      <c r="B6" s="2" t="s">
        <v>3</v>
      </c>
      <c r="C6" t="s">
        <v>5</v>
      </c>
    </row>
    <row r="7" spans="1:22" x14ac:dyDescent="0.25">
      <c r="B7" s="2" t="s">
        <v>21</v>
      </c>
      <c r="C7" t="s">
        <v>6</v>
      </c>
    </row>
    <row r="8" spans="1:22" x14ac:dyDescent="0.25">
      <c r="B8" s="2" t="s">
        <v>4</v>
      </c>
      <c r="C8" t="s">
        <v>7</v>
      </c>
    </row>
    <row r="9" spans="1:22" x14ac:dyDescent="0.25">
      <c r="B9" s="2"/>
    </row>
    <row r="10" spans="1:22" x14ac:dyDescent="0.25">
      <c r="B10" s="21" t="s">
        <v>22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  <c r="Q10" s="21" t="s">
        <v>30</v>
      </c>
      <c r="R10" s="22"/>
      <c r="S10" s="22"/>
      <c r="T10" s="22"/>
      <c r="U10" s="22"/>
      <c r="V10" s="23"/>
    </row>
    <row r="11" spans="1:22" x14ac:dyDescent="0.25">
      <c r="B11" s="24"/>
      <c r="C11" s="20" t="s">
        <v>23</v>
      </c>
      <c r="O11" s="25"/>
      <c r="Q11" s="24"/>
      <c r="R11">
        <v>2.5</v>
      </c>
      <c r="S11" t="s">
        <v>31</v>
      </c>
      <c r="V11" s="25"/>
    </row>
    <row r="12" spans="1:22" x14ac:dyDescent="0.25">
      <c r="B12" s="24"/>
      <c r="D12" s="20" t="s">
        <v>24</v>
      </c>
      <c r="E12" s="20"/>
      <c r="F12" s="20"/>
      <c r="G12" s="20"/>
      <c r="H12" s="20"/>
      <c r="I12" s="20"/>
      <c r="J12" s="20"/>
      <c r="O12" s="25"/>
      <c r="Q12" s="24"/>
      <c r="R12" s="30">
        <v>1.5</v>
      </c>
      <c r="S12" t="s">
        <v>32</v>
      </c>
      <c r="V12" s="25"/>
    </row>
    <row r="13" spans="1:22" x14ac:dyDescent="0.25">
      <c r="B13" s="24"/>
      <c r="D13" s="20" t="s">
        <v>26</v>
      </c>
      <c r="E13" s="20"/>
      <c r="F13" s="20"/>
      <c r="G13" s="20"/>
      <c r="H13" s="20"/>
      <c r="I13" s="20"/>
      <c r="J13" s="20"/>
      <c r="O13" s="25"/>
      <c r="Q13" s="24"/>
      <c r="R13">
        <f>SUM(R11:R12)</f>
        <v>4</v>
      </c>
      <c r="S13" t="s">
        <v>33</v>
      </c>
      <c r="V13" s="25"/>
    </row>
    <row r="14" spans="1:22" x14ac:dyDescent="0.25">
      <c r="B14" s="24"/>
      <c r="D14" s="20" t="s">
        <v>25</v>
      </c>
      <c r="E14" s="20"/>
      <c r="F14" s="20"/>
      <c r="G14" s="20"/>
      <c r="H14" s="20"/>
      <c r="I14" s="20"/>
      <c r="J14" s="20"/>
      <c r="O14" s="25"/>
      <c r="Q14" s="24"/>
      <c r="V14" s="25"/>
    </row>
    <row r="15" spans="1:22" x14ac:dyDescent="0.25">
      <c r="B15" s="24"/>
      <c r="D15" s="3" t="s">
        <v>27</v>
      </c>
      <c r="E15" s="3"/>
      <c r="F15" s="3"/>
      <c r="G15" s="3"/>
      <c r="H15" s="3"/>
      <c r="I15" s="3"/>
      <c r="J15" s="3"/>
      <c r="O15" s="25"/>
      <c r="Q15" s="24"/>
      <c r="V15" s="25"/>
    </row>
    <row r="16" spans="1:22" x14ac:dyDescent="0.25">
      <c r="B16" s="24"/>
      <c r="D16" s="3" t="s">
        <v>28</v>
      </c>
      <c r="E16" s="3"/>
      <c r="F16" s="3"/>
      <c r="G16" s="3"/>
      <c r="H16" s="3"/>
      <c r="I16" s="3"/>
      <c r="J16" s="3"/>
      <c r="O16" s="25"/>
      <c r="Q16" s="24"/>
      <c r="V16" s="25"/>
    </row>
    <row r="17" spans="1:24" x14ac:dyDescent="0.25">
      <c r="B17" s="26"/>
      <c r="C17" s="27"/>
      <c r="D17" s="28" t="s">
        <v>29</v>
      </c>
      <c r="E17" s="28"/>
      <c r="F17" s="28"/>
      <c r="G17" s="28"/>
      <c r="H17" s="28"/>
      <c r="I17" s="28"/>
      <c r="J17" s="28"/>
      <c r="K17" s="27"/>
      <c r="L17" s="27"/>
      <c r="M17" s="27"/>
      <c r="N17" s="27"/>
      <c r="O17" s="29"/>
      <c r="Q17" s="26"/>
      <c r="R17" s="27"/>
      <c r="S17" s="27"/>
      <c r="T17" s="27"/>
      <c r="U17" s="27"/>
      <c r="V17" s="29"/>
    </row>
    <row r="18" spans="1:24" x14ac:dyDescent="0.25">
      <c r="B18" s="2"/>
      <c r="K18" s="3"/>
    </row>
    <row r="19" spans="1:24" ht="15.75" thickBot="1" x14ac:dyDescent="0.3">
      <c r="B19" s="1"/>
    </row>
    <row r="20" spans="1:24" x14ac:dyDescent="0.25">
      <c r="A20" s="79"/>
      <c r="B20" s="80" t="s">
        <v>35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2"/>
    </row>
    <row r="21" spans="1:24" x14ac:dyDescent="0.25">
      <c r="A21" s="83"/>
      <c r="B21" s="20"/>
      <c r="X21" s="84"/>
    </row>
    <row r="22" spans="1:24" x14ac:dyDescent="0.25">
      <c r="A22" s="83"/>
      <c r="B22" s="85">
        <v>0.12</v>
      </c>
      <c r="X22" s="84"/>
    </row>
    <row r="23" spans="1:24" x14ac:dyDescent="0.25">
      <c r="A23" s="83"/>
      <c r="B23" s="85">
        <v>1</v>
      </c>
      <c r="X23" s="84"/>
    </row>
    <row r="24" spans="1:24" x14ac:dyDescent="0.25">
      <c r="A24" s="83">
        <v>1</v>
      </c>
      <c r="B24" s="86">
        <f>B23+B$22</f>
        <v>1.1200000000000001</v>
      </c>
      <c r="L24" s="21"/>
      <c r="M24" s="31" t="s">
        <v>38</v>
      </c>
      <c r="N24" s="32">
        <f>B24</f>
        <v>1.1200000000000001</v>
      </c>
      <c r="O24" s="32">
        <f>B25</f>
        <v>1.2400000000000002</v>
      </c>
      <c r="P24" s="32">
        <f>B26</f>
        <v>1.3600000000000003</v>
      </c>
      <c r="Q24" s="32">
        <f>B27</f>
        <v>1.4800000000000004</v>
      </c>
      <c r="R24" s="32">
        <f>B28</f>
        <v>1.6000000000000005</v>
      </c>
      <c r="S24" s="33"/>
      <c r="X24" s="84"/>
    </row>
    <row r="25" spans="1:24" x14ac:dyDescent="0.25">
      <c r="A25" s="83">
        <v>2</v>
      </c>
      <c r="B25" s="86">
        <f t="shared" ref="B25:B29" si="0">B24+B$22</f>
        <v>1.2400000000000002</v>
      </c>
      <c r="L25" s="34"/>
      <c r="M25" s="35">
        <v>1</v>
      </c>
      <c r="N25" s="35">
        <v>2</v>
      </c>
      <c r="O25" s="35">
        <v>3</v>
      </c>
      <c r="P25" s="35">
        <v>4</v>
      </c>
      <c r="Q25" s="35">
        <v>5</v>
      </c>
      <c r="R25" s="35">
        <v>6</v>
      </c>
      <c r="S25" s="36"/>
      <c r="X25" s="84"/>
    </row>
    <row r="26" spans="1:24" x14ac:dyDescent="0.25">
      <c r="A26" s="83">
        <v>3</v>
      </c>
      <c r="B26" s="86">
        <f t="shared" si="0"/>
        <v>1.3600000000000003</v>
      </c>
      <c r="L26" s="24"/>
      <c r="M26" s="37">
        <v>0.437</v>
      </c>
      <c r="N26" s="11">
        <f>$M26*N24</f>
        <v>0.48944000000000004</v>
      </c>
      <c r="O26" s="11">
        <f>$M26*O24</f>
        <v>0.54188000000000014</v>
      </c>
      <c r="P26" s="11">
        <f>$M26*P24</f>
        <v>0.59432000000000018</v>
      </c>
      <c r="Q26" s="11">
        <f>$M26*Q24</f>
        <v>0.64676000000000022</v>
      </c>
      <c r="R26" s="11">
        <f>$M26*R24</f>
        <v>0.69920000000000027</v>
      </c>
      <c r="S26" s="36" t="s">
        <v>39</v>
      </c>
      <c r="X26" s="84"/>
    </row>
    <row r="27" spans="1:24" x14ac:dyDescent="0.25">
      <c r="A27" s="83">
        <v>4</v>
      </c>
      <c r="B27" s="86">
        <f t="shared" si="0"/>
        <v>1.4800000000000004</v>
      </c>
      <c r="L27" s="26"/>
      <c r="M27" s="38">
        <f t="shared" ref="M27:R27" si="1">M26</f>
        <v>0.437</v>
      </c>
      <c r="N27" s="38">
        <f t="shared" si="1"/>
        <v>0.48944000000000004</v>
      </c>
      <c r="O27" s="38">
        <f t="shared" si="1"/>
        <v>0.54188000000000014</v>
      </c>
      <c r="P27" s="38">
        <f t="shared" si="1"/>
        <v>0.59432000000000018</v>
      </c>
      <c r="Q27" s="38">
        <f t="shared" si="1"/>
        <v>0.64676000000000022</v>
      </c>
      <c r="R27" s="38">
        <f t="shared" si="1"/>
        <v>0.69920000000000027</v>
      </c>
      <c r="S27" s="39" t="s">
        <v>42</v>
      </c>
      <c r="X27" s="84"/>
    </row>
    <row r="28" spans="1:24" x14ac:dyDescent="0.25">
      <c r="A28" s="83">
        <v>5</v>
      </c>
      <c r="B28" s="86">
        <f t="shared" si="0"/>
        <v>1.6000000000000005</v>
      </c>
      <c r="X28" s="84"/>
    </row>
    <row r="29" spans="1:24" x14ac:dyDescent="0.25">
      <c r="A29" s="83">
        <v>6</v>
      </c>
      <c r="B29" s="86">
        <f t="shared" si="0"/>
        <v>1.7200000000000006</v>
      </c>
      <c r="D29" t="s">
        <v>72</v>
      </c>
      <c r="X29" s="84"/>
    </row>
    <row r="30" spans="1:24" x14ac:dyDescent="0.25">
      <c r="A30" s="83"/>
      <c r="B30" s="86"/>
      <c r="F30" s="40" t="s">
        <v>68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55" t="s">
        <v>45</v>
      </c>
      <c r="R30" s="23"/>
      <c r="X30" s="84"/>
    </row>
    <row r="31" spans="1:24" x14ac:dyDescent="0.25">
      <c r="A31" s="83"/>
      <c r="B31" s="20"/>
      <c r="F31" s="24"/>
      <c r="R31" s="25"/>
      <c r="X31" s="84"/>
    </row>
    <row r="32" spans="1:24" x14ac:dyDescent="0.25">
      <c r="A32" s="83"/>
      <c r="F32" s="41"/>
      <c r="G32" s="42" t="s">
        <v>58</v>
      </c>
      <c r="H32" s="42" t="s">
        <v>59</v>
      </c>
      <c r="I32" s="42" t="s">
        <v>60</v>
      </c>
      <c r="J32" s="178" t="s">
        <v>61</v>
      </c>
      <c r="K32" s="178" t="s">
        <v>62</v>
      </c>
      <c r="L32" s="178" t="s">
        <v>63</v>
      </c>
      <c r="M32" s="178" t="s">
        <v>40</v>
      </c>
      <c r="N32" s="178" t="s">
        <v>64</v>
      </c>
      <c r="O32" s="178" t="s">
        <v>65</v>
      </c>
      <c r="P32" s="178" t="s">
        <v>66</v>
      </c>
      <c r="Q32" s="178" t="s">
        <v>67</v>
      </c>
      <c r="R32" s="175" t="s">
        <v>41</v>
      </c>
      <c r="S32" s="176"/>
      <c r="T32" s="177"/>
      <c r="X32" s="84"/>
    </row>
    <row r="33" spans="1:24" x14ac:dyDescent="0.25">
      <c r="A33" s="83"/>
      <c r="C33" s="73" t="s">
        <v>34</v>
      </c>
      <c r="F33" s="44"/>
      <c r="G33" s="4">
        <v>-5</v>
      </c>
      <c r="H33" s="4">
        <v>-4</v>
      </c>
      <c r="I33" s="4">
        <v>-3</v>
      </c>
      <c r="J33" s="4">
        <v>-2</v>
      </c>
      <c r="K33" s="4">
        <v>-1</v>
      </c>
      <c r="L33" s="4">
        <v>0</v>
      </c>
      <c r="M33" s="4">
        <v>1</v>
      </c>
      <c r="N33" s="4">
        <v>2</v>
      </c>
      <c r="O33" s="4">
        <v>3</v>
      </c>
      <c r="P33" s="4">
        <v>4</v>
      </c>
      <c r="Q33" s="4">
        <v>5</v>
      </c>
      <c r="R33" s="45">
        <v>6</v>
      </c>
      <c r="T33" s="4">
        <v>1</v>
      </c>
      <c r="U33" s="4">
        <v>6</v>
      </c>
      <c r="X33" s="84"/>
    </row>
    <row r="34" spans="1:24" x14ac:dyDescent="0.25">
      <c r="A34" s="83"/>
      <c r="B34" s="4"/>
      <c r="C34" s="4" t="s">
        <v>10</v>
      </c>
      <c r="D34" s="87" t="s">
        <v>37</v>
      </c>
      <c r="E34" s="73"/>
      <c r="F34" s="24"/>
      <c r="N34" s="46" t="s">
        <v>43</v>
      </c>
      <c r="R34" s="25"/>
      <c r="X34" s="84"/>
    </row>
    <row r="35" spans="1:24" x14ac:dyDescent="0.25">
      <c r="A35" s="83"/>
      <c r="B35" s="4" t="s">
        <v>9</v>
      </c>
      <c r="C35" s="88" t="s">
        <v>36</v>
      </c>
      <c r="D35" s="89">
        <v>-0.02</v>
      </c>
      <c r="E35" s="74"/>
      <c r="F35" s="24"/>
      <c r="G35" s="47"/>
      <c r="H35" s="47"/>
      <c r="I35" s="47"/>
      <c r="J35" s="47"/>
      <c r="K35" s="47"/>
      <c r="L35" s="47"/>
      <c r="M35" s="47">
        <f>M26</f>
        <v>0.437</v>
      </c>
      <c r="N35" s="47">
        <f>N26</f>
        <v>0.48944000000000004</v>
      </c>
      <c r="O35" s="47">
        <f t="shared" ref="O35:R35" si="2">O26</f>
        <v>0.54188000000000014</v>
      </c>
      <c r="P35" s="47">
        <f t="shared" si="2"/>
        <v>0.59432000000000018</v>
      </c>
      <c r="Q35" s="47">
        <f t="shared" si="2"/>
        <v>0.64676000000000022</v>
      </c>
      <c r="R35" s="48">
        <f t="shared" si="2"/>
        <v>0.69920000000000027</v>
      </c>
      <c r="X35" s="84"/>
    </row>
    <row r="36" spans="1:24" x14ac:dyDescent="0.25">
      <c r="A36" s="83"/>
      <c r="B36" s="4">
        <v>1</v>
      </c>
      <c r="C36" s="6">
        <v>0.78</v>
      </c>
      <c r="D36" s="6">
        <f t="shared" ref="D36:D47" si="3">C36+$D$35</f>
        <v>0.76</v>
      </c>
      <c r="E36" s="1"/>
      <c r="F36" s="49">
        <f t="shared" ref="F36:F46" si="4">M36/M37</f>
        <v>0.91041666666666665</v>
      </c>
      <c r="G36" s="13">
        <f>($W36*G$33)+$X36</f>
        <v>0.12235999999999986</v>
      </c>
      <c r="H36" s="13">
        <f t="shared" ref="H36:K36" si="5">($W36*H$33)+$X36</f>
        <v>0.17479999999999987</v>
      </c>
      <c r="I36" s="13">
        <f t="shared" si="5"/>
        <v>0.22723999999999991</v>
      </c>
      <c r="J36" s="13">
        <f t="shared" si="5"/>
        <v>0.27967999999999993</v>
      </c>
      <c r="K36" s="13">
        <f t="shared" si="5"/>
        <v>0.33211999999999997</v>
      </c>
      <c r="L36" s="13">
        <f>($W36*L$33)+$X36</f>
        <v>0.38456000000000001</v>
      </c>
      <c r="M36" s="62">
        <v>0.437</v>
      </c>
      <c r="N36" s="13">
        <f>($W36*N$33)+$X36</f>
        <v>0.4894400000000001</v>
      </c>
      <c r="O36" s="13">
        <f t="shared" ref="O36:Q47" si="6">($W36*O$33)+$X36</f>
        <v>0.54188000000000014</v>
      </c>
      <c r="P36" s="13">
        <f t="shared" si="6"/>
        <v>0.59432000000000018</v>
      </c>
      <c r="Q36" s="13">
        <f t="shared" si="6"/>
        <v>0.64676000000000022</v>
      </c>
      <c r="R36" s="76">
        <f>R26</f>
        <v>0.69920000000000027</v>
      </c>
      <c r="S36" s="11"/>
      <c r="T36" s="1">
        <f>M36</f>
        <v>0.437</v>
      </c>
      <c r="U36" s="1">
        <f t="shared" ref="U36:U47" si="7">R36</f>
        <v>0.69920000000000027</v>
      </c>
      <c r="V36" s="90" t="s">
        <v>44</v>
      </c>
      <c r="W36" s="91">
        <f>INDEX(LINEST(T36:U36,(T$33:U$33)^{1}),1)</f>
        <v>5.2440000000000035E-2</v>
      </c>
      <c r="X36" s="92">
        <f>INDEX(LINEST(T36:U36,(T$33:U$33)^{1}),1,2)</f>
        <v>0.38456000000000001</v>
      </c>
    </row>
    <row r="37" spans="1:24" x14ac:dyDescent="0.25">
      <c r="A37" s="83"/>
      <c r="B37" s="4">
        <v>2</v>
      </c>
      <c r="C37" s="1">
        <v>0.56999999999999995</v>
      </c>
      <c r="D37" s="1">
        <f t="shared" si="3"/>
        <v>0.54999999999999993</v>
      </c>
      <c r="E37" s="1"/>
      <c r="F37" s="49">
        <f t="shared" si="4"/>
        <v>0.9213051823416506</v>
      </c>
      <c r="G37" s="12">
        <f t="shared" ref="G37:N47" si="8">($W37*G$33)+$X37</f>
        <v>0.21695999999999968</v>
      </c>
      <c r="H37" s="12">
        <f t="shared" si="8"/>
        <v>0.2607999999999997</v>
      </c>
      <c r="I37" s="12">
        <f t="shared" si="8"/>
        <v>0.3046399999999998</v>
      </c>
      <c r="J37" s="12">
        <f t="shared" si="8"/>
        <v>0.34847999999999985</v>
      </c>
      <c r="K37" s="12">
        <f t="shared" si="8"/>
        <v>0.39231999999999989</v>
      </c>
      <c r="L37" s="12">
        <f t="shared" si="8"/>
        <v>0.43615999999999994</v>
      </c>
      <c r="M37" s="37">
        <v>0.48</v>
      </c>
      <c r="N37" s="12">
        <f t="shared" si="8"/>
        <v>0.52384000000000008</v>
      </c>
      <c r="O37" s="12">
        <f t="shared" si="6"/>
        <v>0.56768000000000007</v>
      </c>
      <c r="P37" s="12">
        <f t="shared" si="6"/>
        <v>0.61152000000000017</v>
      </c>
      <c r="Q37" s="12">
        <f t="shared" si="6"/>
        <v>0.65536000000000016</v>
      </c>
      <c r="R37" s="50">
        <f t="shared" ref="R37:R47" si="9">R$26</f>
        <v>0.69920000000000027</v>
      </c>
      <c r="T37" s="1">
        <f t="shared" ref="T37:T47" si="10">M37</f>
        <v>0.48</v>
      </c>
      <c r="U37" s="1">
        <f t="shared" si="7"/>
        <v>0.69920000000000027</v>
      </c>
      <c r="V37" s="90" t="s">
        <v>44</v>
      </c>
      <c r="W37" s="91">
        <f>INDEX(LINEST(T37:U37,(T$33:U$33)^{1}),1)</f>
        <v>4.3840000000000053E-2</v>
      </c>
      <c r="X37" s="92">
        <f>INDEX(LINEST(T37:U37,(T$33:U$33)^{1}),1,2)</f>
        <v>0.43615999999999994</v>
      </c>
    </row>
    <row r="38" spans="1:24" x14ac:dyDescent="0.25">
      <c r="A38" s="83"/>
      <c r="B38" s="4">
        <v>3</v>
      </c>
      <c r="C38" s="5">
        <v>0.54</v>
      </c>
      <c r="D38" s="5">
        <f t="shared" si="3"/>
        <v>0.52</v>
      </c>
      <c r="E38" s="1"/>
      <c r="F38" s="49">
        <f t="shared" si="4"/>
        <v>0.93705035971223016</v>
      </c>
      <c r="G38" s="14">
        <f t="shared" si="8"/>
        <v>0.30715999999999966</v>
      </c>
      <c r="H38" s="14">
        <f t="shared" si="8"/>
        <v>0.34279999999999972</v>
      </c>
      <c r="I38" s="14">
        <f t="shared" si="8"/>
        <v>0.37843999999999978</v>
      </c>
      <c r="J38" s="14">
        <f t="shared" si="8"/>
        <v>0.41407999999999978</v>
      </c>
      <c r="K38" s="14">
        <f t="shared" si="8"/>
        <v>0.44971999999999984</v>
      </c>
      <c r="L38" s="14">
        <f t="shared" si="8"/>
        <v>0.4853599999999999</v>
      </c>
      <c r="M38" s="66">
        <v>0.52100000000000002</v>
      </c>
      <c r="N38" s="14">
        <f t="shared" si="8"/>
        <v>0.55664000000000002</v>
      </c>
      <c r="O38" s="14">
        <f t="shared" si="6"/>
        <v>0.59228000000000003</v>
      </c>
      <c r="P38" s="14">
        <f t="shared" si="6"/>
        <v>0.62792000000000003</v>
      </c>
      <c r="Q38" s="14">
        <f t="shared" si="6"/>
        <v>0.66356000000000015</v>
      </c>
      <c r="R38" s="51">
        <f t="shared" si="9"/>
        <v>0.69920000000000027</v>
      </c>
      <c r="T38" s="1">
        <f t="shared" si="10"/>
        <v>0.52100000000000002</v>
      </c>
      <c r="U38" s="1">
        <f t="shared" si="7"/>
        <v>0.69920000000000027</v>
      </c>
      <c r="V38" s="90" t="s">
        <v>44</v>
      </c>
      <c r="W38" s="91">
        <f>INDEX(LINEST(T38:U38,(T$33:U$33)^{1}),1)</f>
        <v>3.5640000000000047E-2</v>
      </c>
      <c r="X38" s="92">
        <f>INDEX(LINEST(T38:U38,(T$33:U$33)^{1}),1,2)</f>
        <v>0.4853599999999999</v>
      </c>
    </row>
    <row r="39" spans="1:24" x14ac:dyDescent="0.25">
      <c r="A39" s="83"/>
      <c r="B39" s="4">
        <v>4</v>
      </c>
      <c r="C39" s="1">
        <v>0.53</v>
      </c>
      <c r="D39" s="1">
        <f t="shared" si="3"/>
        <v>0.51</v>
      </c>
      <c r="E39" s="1"/>
      <c r="F39" s="49">
        <f t="shared" si="4"/>
        <v>0.9504273504273506</v>
      </c>
      <c r="G39" s="12">
        <f t="shared" si="8"/>
        <v>0.38415999999999983</v>
      </c>
      <c r="H39" s="12">
        <f t="shared" si="8"/>
        <v>0.41279999999999989</v>
      </c>
      <c r="I39" s="12">
        <f t="shared" si="8"/>
        <v>0.44143999999999994</v>
      </c>
      <c r="J39" s="12">
        <f t="shared" si="8"/>
        <v>0.47007999999999994</v>
      </c>
      <c r="K39" s="12">
        <f t="shared" si="8"/>
        <v>0.49872</v>
      </c>
      <c r="L39" s="12">
        <f t="shared" si="8"/>
        <v>0.52736000000000005</v>
      </c>
      <c r="M39" s="37">
        <v>0.55600000000000005</v>
      </c>
      <c r="N39" s="12">
        <f t="shared" si="8"/>
        <v>0.58464000000000016</v>
      </c>
      <c r="O39" s="12">
        <f t="shared" si="6"/>
        <v>0.61328000000000016</v>
      </c>
      <c r="P39" s="12">
        <f t="shared" si="6"/>
        <v>0.64192000000000027</v>
      </c>
      <c r="Q39" s="12">
        <f t="shared" si="6"/>
        <v>0.67056000000000027</v>
      </c>
      <c r="R39" s="50">
        <f t="shared" si="9"/>
        <v>0.69920000000000027</v>
      </c>
      <c r="T39" s="1">
        <f t="shared" si="10"/>
        <v>0.55600000000000005</v>
      </c>
      <c r="U39" s="1">
        <f t="shared" si="7"/>
        <v>0.69920000000000027</v>
      </c>
      <c r="V39" s="90" t="s">
        <v>44</v>
      </c>
      <c r="W39" s="91">
        <f>INDEX(LINEST(T39:U39,(T$33:U$33)^{1}),1)</f>
        <v>2.864000000000004E-2</v>
      </c>
      <c r="X39" s="92">
        <f>INDEX(LINEST(T39:U39,(T$33:U$33)^{1}),1,2)</f>
        <v>0.52736000000000005</v>
      </c>
    </row>
    <row r="40" spans="1:24" x14ac:dyDescent="0.25">
      <c r="A40" s="83"/>
      <c r="B40" s="4">
        <v>5</v>
      </c>
      <c r="C40" s="1">
        <v>0.56000000000000005</v>
      </c>
      <c r="D40" s="1">
        <f t="shared" si="3"/>
        <v>0.54</v>
      </c>
      <c r="E40" s="1"/>
      <c r="F40" s="49">
        <f t="shared" si="4"/>
        <v>0.93599999999999994</v>
      </c>
      <c r="G40" s="12">
        <f t="shared" si="8"/>
        <v>0.44795999999999958</v>
      </c>
      <c r="H40" s="12">
        <f t="shared" si="8"/>
        <v>0.47079999999999966</v>
      </c>
      <c r="I40" s="12">
        <f t="shared" si="8"/>
        <v>0.49363999999999969</v>
      </c>
      <c r="J40" s="12">
        <f t="shared" si="8"/>
        <v>0.51647999999999972</v>
      </c>
      <c r="K40" s="12">
        <f t="shared" si="8"/>
        <v>0.5393199999999998</v>
      </c>
      <c r="L40" s="12">
        <f t="shared" si="8"/>
        <v>0.56215999999999988</v>
      </c>
      <c r="M40" s="37">
        <v>0.58499999999999996</v>
      </c>
      <c r="N40" s="12">
        <f t="shared" si="8"/>
        <v>0.60784000000000005</v>
      </c>
      <c r="O40" s="12">
        <f t="shared" si="6"/>
        <v>0.63068000000000002</v>
      </c>
      <c r="P40" s="12">
        <f t="shared" si="6"/>
        <v>0.6535200000000001</v>
      </c>
      <c r="Q40" s="12">
        <f t="shared" si="6"/>
        <v>0.67636000000000018</v>
      </c>
      <c r="R40" s="50">
        <f t="shared" si="9"/>
        <v>0.69920000000000027</v>
      </c>
      <c r="T40" s="1">
        <f t="shared" si="10"/>
        <v>0.58499999999999996</v>
      </c>
      <c r="U40" s="1">
        <f t="shared" si="7"/>
        <v>0.69920000000000027</v>
      </c>
      <c r="V40" s="90" t="s">
        <v>44</v>
      </c>
      <c r="W40" s="91">
        <f>INDEX(LINEST(T40:U40,(T$33:U$33)^{1}),1)</f>
        <v>2.2840000000000058E-2</v>
      </c>
      <c r="X40" s="92">
        <f>INDEX(LINEST(T40:U40,(T$33:U$33)^{1}),1,2)</f>
        <v>0.56215999999999988</v>
      </c>
    </row>
    <row r="41" spans="1:24" x14ac:dyDescent="0.25">
      <c r="A41" s="83"/>
      <c r="B41" s="4">
        <v>10</v>
      </c>
      <c r="C41" s="5">
        <v>0.64</v>
      </c>
      <c r="D41" s="5">
        <f t="shared" si="3"/>
        <v>0.62</v>
      </c>
      <c r="E41" s="1"/>
      <c r="F41" s="49">
        <f t="shared" si="4"/>
        <v>0.96153846153846145</v>
      </c>
      <c r="G41" s="14">
        <f t="shared" si="8"/>
        <v>0.53595999999999966</v>
      </c>
      <c r="H41" s="14">
        <f t="shared" si="8"/>
        <v>0.55079999999999973</v>
      </c>
      <c r="I41" s="14">
        <f t="shared" si="8"/>
        <v>0.56563999999999981</v>
      </c>
      <c r="J41" s="14">
        <f t="shared" si="8"/>
        <v>0.58047999999999988</v>
      </c>
      <c r="K41" s="14">
        <f t="shared" si="8"/>
        <v>0.59531999999999985</v>
      </c>
      <c r="L41" s="14">
        <f t="shared" si="8"/>
        <v>0.61015999999999992</v>
      </c>
      <c r="M41" s="66">
        <v>0.625</v>
      </c>
      <c r="N41" s="14">
        <f t="shared" si="8"/>
        <v>0.63983999999999996</v>
      </c>
      <c r="O41" s="14">
        <f t="shared" si="6"/>
        <v>0.65468000000000004</v>
      </c>
      <c r="P41" s="14">
        <f t="shared" si="6"/>
        <v>0.66952000000000012</v>
      </c>
      <c r="Q41" s="14">
        <f t="shared" si="6"/>
        <v>0.68436000000000019</v>
      </c>
      <c r="R41" s="51">
        <f t="shared" si="9"/>
        <v>0.69920000000000027</v>
      </c>
      <c r="T41" s="1">
        <f t="shared" si="10"/>
        <v>0.625</v>
      </c>
      <c r="U41" s="1">
        <f t="shared" si="7"/>
        <v>0.69920000000000027</v>
      </c>
      <c r="V41" s="90" t="s">
        <v>44</v>
      </c>
      <c r="W41" s="91">
        <f>INDEX(LINEST(T41:U41,(T$33:U$33)^{1}),1)</f>
        <v>1.4840000000000048E-2</v>
      </c>
      <c r="X41" s="92">
        <f>INDEX(LINEST(T41:U41,(T$33:U$33)^{1}),1,2)</f>
        <v>0.61015999999999992</v>
      </c>
    </row>
    <row r="42" spans="1:24" x14ac:dyDescent="0.25">
      <c r="A42" s="83"/>
      <c r="B42" s="4">
        <v>20</v>
      </c>
      <c r="C42" s="1">
        <v>0.66</v>
      </c>
      <c r="D42" s="1">
        <f t="shared" si="3"/>
        <v>0.64</v>
      </c>
      <c r="E42" s="1"/>
      <c r="F42" s="49">
        <f t="shared" si="4"/>
        <v>0.98484848484848486</v>
      </c>
      <c r="G42" s="12">
        <f t="shared" si="8"/>
        <v>0.59095999999999971</v>
      </c>
      <c r="H42" s="12">
        <f t="shared" si="8"/>
        <v>0.60079999999999978</v>
      </c>
      <c r="I42" s="12">
        <f t="shared" si="8"/>
        <v>0.61063999999999985</v>
      </c>
      <c r="J42" s="12">
        <f t="shared" si="8"/>
        <v>0.62047999999999981</v>
      </c>
      <c r="K42" s="12">
        <f t="shared" si="8"/>
        <v>0.63031999999999988</v>
      </c>
      <c r="L42" s="12">
        <f t="shared" si="8"/>
        <v>0.64015999999999995</v>
      </c>
      <c r="M42" s="37">
        <v>0.65</v>
      </c>
      <c r="N42" s="12">
        <f t="shared" si="8"/>
        <v>0.65984000000000009</v>
      </c>
      <c r="O42" s="12">
        <f t="shared" si="6"/>
        <v>0.66968000000000005</v>
      </c>
      <c r="P42" s="12">
        <f t="shared" si="6"/>
        <v>0.67952000000000012</v>
      </c>
      <c r="Q42" s="12">
        <f t="shared" si="6"/>
        <v>0.68936000000000019</v>
      </c>
      <c r="R42" s="50">
        <f t="shared" si="9"/>
        <v>0.69920000000000027</v>
      </c>
      <c r="T42" s="1">
        <f t="shared" si="10"/>
        <v>0.65</v>
      </c>
      <c r="U42" s="1">
        <f t="shared" si="7"/>
        <v>0.69920000000000027</v>
      </c>
      <c r="V42" s="90" t="s">
        <v>44</v>
      </c>
      <c r="W42" s="91">
        <f>INDEX(LINEST(T42:U42,(T$33:U$33)^{1}),1)</f>
        <v>9.8400000000000449E-3</v>
      </c>
      <c r="X42" s="92">
        <f>INDEX(LINEST(T42:U42,(T$33:U$33)^{1}),1,2)</f>
        <v>0.64015999999999995</v>
      </c>
    </row>
    <row r="43" spans="1:24" x14ac:dyDescent="0.25">
      <c r="A43" s="83"/>
      <c r="B43" s="4">
        <v>30</v>
      </c>
      <c r="C43" s="1">
        <v>0.68</v>
      </c>
      <c r="D43" s="1">
        <f t="shared" si="3"/>
        <v>0.66</v>
      </c>
      <c r="E43" s="1"/>
      <c r="F43" s="49">
        <f t="shared" si="4"/>
        <v>0.9850746268656716</v>
      </c>
      <c r="G43" s="12">
        <f t="shared" si="8"/>
        <v>0.61295999999999984</v>
      </c>
      <c r="H43" s="12">
        <f t="shared" si="8"/>
        <v>0.62079999999999991</v>
      </c>
      <c r="I43" s="12">
        <f t="shared" si="8"/>
        <v>0.62863999999999998</v>
      </c>
      <c r="J43" s="12">
        <f t="shared" si="8"/>
        <v>0.63647999999999993</v>
      </c>
      <c r="K43" s="12">
        <f t="shared" si="8"/>
        <v>0.64432</v>
      </c>
      <c r="L43" s="12">
        <f t="shared" si="8"/>
        <v>0.65216000000000007</v>
      </c>
      <c r="M43" s="37">
        <v>0.66</v>
      </c>
      <c r="N43" s="12">
        <f t="shared" si="8"/>
        <v>0.66784000000000021</v>
      </c>
      <c r="O43" s="12">
        <f t="shared" si="6"/>
        <v>0.67568000000000017</v>
      </c>
      <c r="P43" s="12">
        <f t="shared" si="6"/>
        <v>0.68352000000000024</v>
      </c>
      <c r="Q43" s="12">
        <f t="shared" si="6"/>
        <v>0.69136000000000031</v>
      </c>
      <c r="R43" s="50">
        <f t="shared" si="9"/>
        <v>0.69920000000000027</v>
      </c>
      <c r="T43" s="1">
        <f t="shared" si="10"/>
        <v>0.66</v>
      </c>
      <c r="U43" s="1">
        <f t="shared" si="7"/>
        <v>0.69920000000000027</v>
      </c>
      <c r="V43" s="90" t="s">
        <v>44</v>
      </c>
      <c r="W43" s="91">
        <f>INDEX(LINEST(T43:U43,(T$33:U$33)^{1}),1)</f>
        <v>7.8400000000000431E-3</v>
      </c>
      <c r="X43" s="92">
        <f>INDEX(LINEST(T43:U43,(T$33:U$33)^{1}),1,2)</f>
        <v>0.65216000000000007</v>
      </c>
    </row>
    <row r="44" spans="1:24" x14ac:dyDescent="0.25">
      <c r="A44" s="83"/>
      <c r="B44" s="4">
        <v>40</v>
      </c>
      <c r="C44" s="1">
        <v>0.69</v>
      </c>
      <c r="D44" s="1">
        <f t="shared" si="3"/>
        <v>0.66999999999999993</v>
      </c>
      <c r="E44" s="1"/>
      <c r="F44" s="49">
        <f t="shared" si="4"/>
        <v>0.98529411764705876</v>
      </c>
      <c r="G44" s="12">
        <f t="shared" si="8"/>
        <v>0.63495999999999975</v>
      </c>
      <c r="H44" s="12">
        <f t="shared" si="8"/>
        <v>0.64079999999999981</v>
      </c>
      <c r="I44" s="12">
        <f t="shared" si="8"/>
        <v>0.64663999999999988</v>
      </c>
      <c r="J44" s="12">
        <f t="shared" si="8"/>
        <v>0.65247999999999984</v>
      </c>
      <c r="K44" s="12">
        <f t="shared" si="8"/>
        <v>0.65831999999999991</v>
      </c>
      <c r="L44" s="12">
        <f t="shared" si="8"/>
        <v>0.66415999999999997</v>
      </c>
      <c r="M44" s="37">
        <v>0.67</v>
      </c>
      <c r="N44" s="12">
        <f t="shared" si="8"/>
        <v>0.67584000000000011</v>
      </c>
      <c r="O44" s="12">
        <f t="shared" si="6"/>
        <v>0.68168000000000006</v>
      </c>
      <c r="P44" s="12">
        <f t="shared" si="6"/>
        <v>0.68752000000000013</v>
      </c>
      <c r="Q44" s="12">
        <f t="shared" si="6"/>
        <v>0.6933600000000002</v>
      </c>
      <c r="R44" s="50">
        <f t="shared" si="9"/>
        <v>0.69920000000000027</v>
      </c>
      <c r="T44" s="1">
        <f t="shared" si="10"/>
        <v>0.67</v>
      </c>
      <c r="U44" s="1">
        <f t="shared" si="7"/>
        <v>0.69920000000000027</v>
      </c>
      <c r="V44" s="90" t="s">
        <v>44</v>
      </c>
      <c r="W44" s="91">
        <f>INDEX(LINEST(T44:U44,(T$33:U$33)^{1}),1)</f>
        <v>5.8400000000000431E-3</v>
      </c>
      <c r="X44" s="92">
        <f>INDEX(LINEST(T44:U44,(T$33:U$33)^{1}),1,2)</f>
        <v>0.66415999999999997</v>
      </c>
    </row>
    <row r="45" spans="1:24" x14ac:dyDescent="0.25">
      <c r="A45" s="83"/>
      <c r="B45" s="4">
        <v>50</v>
      </c>
      <c r="C45" s="1">
        <v>0.71</v>
      </c>
      <c r="D45" s="1">
        <f t="shared" si="3"/>
        <v>0.69</v>
      </c>
      <c r="E45" s="1"/>
      <c r="F45" s="49">
        <f t="shared" si="4"/>
        <v>0.98550724637681175</v>
      </c>
      <c r="G45" s="12">
        <f t="shared" si="8"/>
        <v>0.65695999999999988</v>
      </c>
      <c r="H45" s="12">
        <f t="shared" si="8"/>
        <v>0.66079999999999994</v>
      </c>
      <c r="I45" s="12">
        <f t="shared" si="8"/>
        <v>0.66464000000000001</v>
      </c>
      <c r="J45" s="12">
        <f t="shared" si="8"/>
        <v>0.66847999999999996</v>
      </c>
      <c r="K45" s="12">
        <f t="shared" si="8"/>
        <v>0.67232000000000003</v>
      </c>
      <c r="L45" s="12">
        <f t="shared" si="8"/>
        <v>0.67616000000000009</v>
      </c>
      <c r="M45" s="37">
        <v>0.68</v>
      </c>
      <c r="N45" s="12">
        <f t="shared" si="8"/>
        <v>0.68384000000000023</v>
      </c>
      <c r="O45" s="12">
        <f t="shared" si="6"/>
        <v>0.68768000000000018</v>
      </c>
      <c r="P45" s="12">
        <f t="shared" si="6"/>
        <v>0.69152000000000025</v>
      </c>
      <c r="Q45" s="12">
        <f t="shared" si="6"/>
        <v>0.69536000000000031</v>
      </c>
      <c r="R45" s="50">
        <f t="shared" si="9"/>
        <v>0.69920000000000027</v>
      </c>
      <c r="T45" s="1">
        <f t="shared" si="10"/>
        <v>0.68</v>
      </c>
      <c r="U45" s="1">
        <f t="shared" si="7"/>
        <v>0.69920000000000027</v>
      </c>
      <c r="V45" s="90" t="s">
        <v>44</v>
      </c>
      <c r="W45" s="91">
        <f>INDEX(LINEST(T45:U45,(T$33:U$33)^{1}),1)</f>
        <v>3.8400000000000426E-3</v>
      </c>
      <c r="X45" s="92">
        <f>INDEX(LINEST(T45:U45,(T$33:U$33)^{1}),1,2)</f>
        <v>0.67616000000000009</v>
      </c>
    </row>
    <row r="46" spans="1:24" x14ac:dyDescent="0.25">
      <c r="A46" s="83"/>
      <c r="B46" s="4">
        <v>60</v>
      </c>
      <c r="C46" s="1">
        <v>0.72</v>
      </c>
      <c r="D46" s="1">
        <f t="shared" si="3"/>
        <v>0.7</v>
      </c>
      <c r="E46" s="1"/>
      <c r="F46" s="49">
        <f t="shared" si="4"/>
        <v>0.98684210526315774</v>
      </c>
      <c r="G46" s="12">
        <f t="shared" si="8"/>
        <v>0.67895999999999956</v>
      </c>
      <c r="H46" s="12">
        <f t="shared" si="8"/>
        <v>0.68079999999999963</v>
      </c>
      <c r="I46" s="12">
        <f t="shared" si="8"/>
        <v>0.68263999999999969</v>
      </c>
      <c r="J46" s="12">
        <f t="shared" si="8"/>
        <v>0.68447999999999976</v>
      </c>
      <c r="K46" s="12">
        <f t="shared" si="8"/>
        <v>0.68631999999999982</v>
      </c>
      <c r="L46" s="12">
        <f t="shared" si="8"/>
        <v>0.68815999999999988</v>
      </c>
      <c r="M46" s="37">
        <v>0.69</v>
      </c>
      <c r="N46" s="12">
        <f t="shared" si="8"/>
        <v>0.69184000000000001</v>
      </c>
      <c r="O46" s="12">
        <f t="shared" si="6"/>
        <v>0.69368000000000007</v>
      </c>
      <c r="P46" s="12">
        <f t="shared" si="6"/>
        <v>0.69552000000000014</v>
      </c>
      <c r="Q46" s="12">
        <f t="shared" si="6"/>
        <v>0.6973600000000002</v>
      </c>
      <c r="R46" s="50">
        <f t="shared" si="9"/>
        <v>0.69920000000000027</v>
      </c>
      <c r="T46" s="1">
        <f t="shared" si="10"/>
        <v>0.69</v>
      </c>
      <c r="U46" s="1">
        <f t="shared" si="7"/>
        <v>0.69920000000000027</v>
      </c>
      <c r="V46" s="90" t="s">
        <v>44</v>
      </c>
      <c r="W46" s="91">
        <f>INDEX(LINEST(T46:U46,(T$33:U$33)^{1}),1)</f>
        <v>1.8400000000000634E-3</v>
      </c>
      <c r="X46" s="92">
        <f>INDEX(LINEST(T46:U46,(T$33:U$33)^{1}),1,2)</f>
        <v>0.68815999999999988</v>
      </c>
    </row>
    <row r="47" spans="1:24" x14ac:dyDescent="0.25">
      <c r="A47" s="83"/>
      <c r="B47" s="4">
        <v>70</v>
      </c>
      <c r="C47" s="5">
        <v>0.72</v>
      </c>
      <c r="D47" s="5">
        <f t="shared" si="3"/>
        <v>0.7</v>
      </c>
      <c r="E47" s="1"/>
      <c r="F47" s="52">
        <f>M47/M47</f>
        <v>1</v>
      </c>
      <c r="G47" s="53">
        <f t="shared" si="8"/>
        <v>0.69919999999999982</v>
      </c>
      <c r="H47" s="53">
        <f t="shared" si="8"/>
        <v>0.69919999999999982</v>
      </c>
      <c r="I47" s="53">
        <f t="shared" si="8"/>
        <v>0.69919999999999993</v>
      </c>
      <c r="J47" s="53">
        <f t="shared" si="8"/>
        <v>0.69919999999999993</v>
      </c>
      <c r="K47" s="53">
        <f t="shared" si="8"/>
        <v>0.69920000000000004</v>
      </c>
      <c r="L47" s="53">
        <f t="shared" si="8"/>
        <v>0.69920000000000004</v>
      </c>
      <c r="M47" s="75">
        <v>0.69920000000000004</v>
      </c>
      <c r="N47" s="53">
        <f t="shared" si="8"/>
        <v>0.69920000000000015</v>
      </c>
      <c r="O47" s="53">
        <f t="shared" si="6"/>
        <v>0.69920000000000015</v>
      </c>
      <c r="P47" s="53">
        <f t="shared" si="6"/>
        <v>0.69920000000000027</v>
      </c>
      <c r="Q47" s="53">
        <f t="shared" si="6"/>
        <v>0.69920000000000027</v>
      </c>
      <c r="R47" s="54">
        <f t="shared" si="9"/>
        <v>0.69920000000000027</v>
      </c>
      <c r="T47" s="1">
        <f t="shared" si="10"/>
        <v>0.69920000000000004</v>
      </c>
      <c r="U47" s="1">
        <f t="shared" si="7"/>
        <v>0.69920000000000027</v>
      </c>
      <c r="V47" s="90" t="s">
        <v>44</v>
      </c>
      <c r="W47" s="91">
        <f>INDEX(LINEST(T47:U47,(T$33:U$33)^{1}),1)</f>
        <v>4.4408920985006258E-17</v>
      </c>
      <c r="X47" s="92">
        <f>INDEX(LINEST(T47:U47,(T$33:U$33)^{1}),1,2)</f>
        <v>0.69920000000000004</v>
      </c>
    </row>
    <row r="48" spans="1:24" ht="15.75" thickBot="1" x14ac:dyDescent="0.3">
      <c r="A48" s="93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5"/>
      <c r="U48" s="95"/>
      <c r="V48" s="96"/>
      <c r="W48" s="94"/>
      <c r="X48" s="97"/>
    </row>
    <row r="52" spans="1:21" x14ac:dyDescent="0.25">
      <c r="A52" t="s">
        <v>73</v>
      </c>
      <c r="B52" t="s">
        <v>74</v>
      </c>
    </row>
    <row r="53" spans="1:21" x14ac:dyDescent="0.25">
      <c r="B53" s="20" t="s">
        <v>75</v>
      </c>
    </row>
    <row r="54" spans="1:21" x14ac:dyDescent="0.25">
      <c r="A54" s="83"/>
      <c r="B54" s="20"/>
    </row>
    <row r="55" spans="1:21" x14ac:dyDescent="0.25">
      <c r="A55" s="83"/>
      <c r="B55" s="135">
        <v>0.14460000000000001</v>
      </c>
      <c r="D55">
        <v>0.14460999999999999</v>
      </c>
    </row>
    <row r="56" spans="1:21" x14ac:dyDescent="0.25">
      <c r="A56" s="83"/>
      <c r="B56" s="85">
        <v>1</v>
      </c>
    </row>
    <row r="57" spans="1:21" x14ac:dyDescent="0.25">
      <c r="A57" s="83">
        <v>1</v>
      </c>
      <c r="B57" s="86">
        <f>B56+B$55</f>
        <v>1.1446000000000001</v>
      </c>
      <c r="H57" s="7"/>
      <c r="L57" s="21"/>
      <c r="M57" s="31" t="s">
        <v>38</v>
      </c>
      <c r="N57" s="32">
        <f>B57</f>
        <v>1.1446000000000001</v>
      </c>
      <c r="O57" s="32">
        <f>B58</f>
        <v>1.2892000000000001</v>
      </c>
      <c r="P57" s="32">
        <f>B59</f>
        <v>1.4338000000000002</v>
      </c>
      <c r="Q57" s="32">
        <f>B60</f>
        <v>1.5784000000000002</v>
      </c>
      <c r="R57" s="32">
        <f>B61</f>
        <v>1.7230000000000003</v>
      </c>
      <c r="S57" s="33"/>
    </row>
    <row r="58" spans="1:21" x14ac:dyDescent="0.25">
      <c r="A58" s="83">
        <v>2</v>
      </c>
      <c r="B58" s="86">
        <f t="shared" ref="B58:B62" si="11">B57+B$55</f>
        <v>1.2892000000000001</v>
      </c>
      <c r="L58" s="34"/>
      <c r="M58" s="35">
        <v>1</v>
      </c>
      <c r="N58" s="35">
        <v>2</v>
      </c>
      <c r="O58" s="35">
        <v>3</v>
      </c>
      <c r="P58" s="35">
        <v>4</v>
      </c>
      <c r="Q58" s="35">
        <v>5</v>
      </c>
      <c r="R58" s="35">
        <v>6</v>
      </c>
      <c r="S58" s="36"/>
    </row>
    <row r="59" spans="1:21" x14ac:dyDescent="0.25">
      <c r="A59" s="83">
        <v>3</v>
      </c>
      <c r="B59" s="86">
        <f t="shared" si="11"/>
        <v>1.4338000000000002</v>
      </c>
      <c r="K59" s="2" t="s">
        <v>76</v>
      </c>
      <c r="L59" s="24"/>
      <c r="M59" s="124">
        <v>0.4</v>
      </c>
      <c r="N59" s="11">
        <f>$M59*N57</f>
        <v>0.45784000000000002</v>
      </c>
      <c r="O59" s="11">
        <f>$M59*O57</f>
        <v>0.51568000000000003</v>
      </c>
      <c r="P59" s="11">
        <f>$M59*P57</f>
        <v>0.57352000000000014</v>
      </c>
      <c r="Q59" s="11">
        <f>$M59*Q57</f>
        <v>0.63136000000000014</v>
      </c>
      <c r="R59" s="130">
        <f>$M59*R57</f>
        <v>0.68920000000000015</v>
      </c>
      <c r="S59" s="36" t="s">
        <v>39</v>
      </c>
      <c r="T59" s="140">
        <f>R59/M80</f>
        <v>1.0000000000000002</v>
      </c>
      <c r="U59">
        <f>B55/T59</f>
        <v>0.14459999999999998</v>
      </c>
    </row>
    <row r="60" spans="1:21" x14ac:dyDescent="0.25">
      <c r="A60" s="83">
        <v>4</v>
      </c>
      <c r="B60" s="86">
        <f t="shared" si="11"/>
        <v>1.5784000000000002</v>
      </c>
      <c r="L60" s="26"/>
      <c r="M60" s="38">
        <f t="shared" ref="M60:R60" si="12">M59</f>
        <v>0.4</v>
      </c>
      <c r="N60" s="38">
        <f t="shared" si="12"/>
        <v>0.45784000000000002</v>
      </c>
      <c r="O60" s="38">
        <f t="shared" si="12"/>
        <v>0.51568000000000003</v>
      </c>
      <c r="P60" s="38">
        <f t="shared" si="12"/>
        <v>0.57352000000000014</v>
      </c>
      <c r="Q60" s="38">
        <f t="shared" si="12"/>
        <v>0.63136000000000014</v>
      </c>
      <c r="R60" s="38">
        <f t="shared" si="12"/>
        <v>0.68920000000000015</v>
      </c>
      <c r="S60" s="39" t="s">
        <v>42</v>
      </c>
    </row>
    <row r="61" spans="1:21" x14ac:dyDescent="0.25">
      <c r="A61" s="83">
        <v>5</v>
      </c>
      <c r="B61" s="86">
        <f t="shared" si="11"/>
        <v>1.7230000000000003</v>
      </c>
    </row>
    <row r="62" spans="1:21" x14ac:dyDescent="0.25">
      <c r="A62" s="83">
        <v>6</v>
      </c>
      <c r="B62" s="86">
        <f t="shared" si="11"/>
        <v>1.8676000000000004</v>
      </c>
      <c r="D62" t="s">
        <v>72</v>
      </c>
      <c r="K62" s="18"/>
      <c r="L62" s="18"/>
    </row>
    <row r="63" spans="1:21" x14ac:dyDescent="0.25">
      <c r="A63" s="83"/>
      <c r="B63" s="86"/>
      <c r="F63" s="40" t="s">
        <v>101</v>
      </c>
      <c r="G63" s="22"/>
      <c r="H63" s="22"/>
      <c r="I63" s="22"/>
      <c r="J63" s="22"/>
      <c r="K63" s="22"/>
      <c r="L63" s="22"/>
      <c r="M63" s="167" t="s">
        <v>109</v>
      </c>
      <c r="N63" s="22"/>
      <c r="O63" s="22"/>
      <c r="P63" s="22"/>
      <c r="Q63" s="55" t="s">
        <v>45</v>
      </c>
      <c r="R63" s="23"/>
    </row>
    <row r="64" spans="1:21" x14ac:dyDescent="0.25">
      <c r="A64" s="83"/>
      <c r="B64" s="20"/>
      <c r="F64" s="24"/>
      <c r="R64" s="25"/>
    </row>
    <row r="65" spans="1:24" x14ac:dyDescent="0.25">
      <c r="A65" s="83"/>
      <c r="F65" s="41"/>
      <c r="G65" s="42"/>
      <c r="H65" s="42"/>
      <c r="I65" s="42"/>
      <c r="J65" s="42"/>
      <c r="K65" s="42" t="s">
        <v>94</v>
      </c>
      <c r="L65" s="42" t="s">
        <v>95</v>
      </c>
      <c r="M65" s="42" t="s">
        <v>96</v>
      </c>
      <c r="N65" s="42" t="s">
        <v>97</v>
      </c>
      <c r="O65" s="42" t="s">
        <v>98</v>
      </c>
      <c r="P65" s="42"/>
      <c r="Q65" s="42"/>
      <c r="R65" s="43"/>
    </row>
    <row r="66" spans="1:24" x14ac:dyDescent="0.25">
      <c r="A66" s="83"/>
      <c r="C66" s="73" t="s">
        <v>34</v>
      </c>
      <c r="F66" s="44"/>
      <c r="G66" s="4">
        <v>-5</v>
      </c>
      <c r="H66" s="4">
        <v>-4</v>
      </c>
      <c r="I66" s="4">
        <v>-3</v>
      </c>
      <c r="J66" s="4">
        <v>-2</v>
      </c>
      <c r="K66" s="4">
        <v>-1</v>
      </c>
      <c r="L66" s="4">
        <v>0</v>
      </c>
      <c r="M66" s="4">
        <v>1</v>
      </c>
      <c r="N66" s="4">
        <v>2</v>
      </c>
      <c r="O66" s="4">
        <v>3</v>
      </c>
      <c r="P66" s="4">
        <v>4</v>
      </c>
      <c r="Q66" s="4">
        <v>5</v>
      </c>
      <c r="R66" s="45">
        <v>6</v>
      </c>
      <c r="T66" s="4">
        <v>1</v>
      </c>
      <c r="U66" s="4">
        <v>6</v>
      </c>
    </row>
    <row r="67" spans="1:24" x14ac:dyDescent="0.25">
      <c r="A67" s="83"/>
      <c r="B67" s="4"/>
      <c r="C67" s="4" t="s">
        <v>10</v>
      </c>
      <c r="D67" s="87" t="s">
        <v>37</v>
      </c>
      <c r="E67" s="73"/>
      <c r="F67" s="24"/>
      <c r="N67" s="46" t="s">
        <v>43</v>
      </c>
      <c r="R67" s="25"/>
    </row>
    <row r="68" spans="1:24" x14ac:dyDescent="0.25">
      <c r="A68" s="83"/>
      <c r="B68" s="4" t="s">
        <v>9</v>
      </c>
      <c r="C68" s="88" t="s">
        <v>36</v>
      </c>
      <c r="D68" s="89">
        <v>-0.02</v>
      </c>
      <c r="E68" s="74"/>
      <c r="F68" s="24"/>
      <c r="G68" s="47"/>
      <c r="H68" s="47"/>
      <c r="I68" s="47"/>
      <c r="J68" s="47"/>
      <c r="K68" s="47"/>
      <c r="L68" s="47"/>
      <c r="M68" s="144">
        <f>M59</f>
        <v>0.4</v>
      </c>
      <c r="N68" s="144">
        <f>N59</f>
        <v>0.45784000000000002</v>
      </c>
      <c r="O68" s="144">
        <f t="shared" ref="O68:R68" si="13">O59</f>
        <v>0.51568000000000003</v>
      </c>
      <c r="P68" s="144">
        <f t="shared" si="13"/>
        <v>0.57352000000000014</v>
      </c>
      <c r="Q68" s="144">
        <f t="shared" si="13"/>
        <v>0.63136000000000014</v>
      </c>
      <c r="R68" s="145">
        <f t="shared" si="13"/>
        <v>0.68920000000000015</v>
      </c>
    </row>
    <row r="69" spans="1:24" x14ac:dyDescent="0.25">
      <c r="A69" s="83"/>
      <c r="B69" s="4">
        <v>1</v>
      </c>
      <c r="C69" s="6">
        <v>0.78</v>
      </c>
      <c r="D69" s="6">
        <f>C69+$D$68</f>
        <v>0.76</v>
      </c>
      <c r="E69" s="1"/>
      <c r="F69" s="49">
        <f t="shared" ref="F69:F79" si="14">M69/M70</f>
        <v>0.89686098654708524</v>
      </c>
      <c r="G69" s="13">
        <f>($W69*G$33)+$X69</f>
        <v>5.2959999999999952E-2</v>
      </c>
      <c r="H69" s="13">
        <f t="shared" ref="H69:K69" si="15">($W69*H$33)+$X69</f>
        <v>0.11079999999999998</v>
      </c>
      <c r="I69" s="13">
        <f t="shared" si="15"/>
        <v>0.16863999999999998</v>
      </c>
      <c r="J69" s="13">
        <f t="shared" si="15"/>
        <v>0.22648000000000001</v>
      </c>
      <c r="K69" s="13">
        <f t="shared" si="15"/>
        <v>0.28432000000000002</v>
      </c>
      <c r="L69" s="13">
        <f>($W69*L$33)+$X69</f>
        <v>0.34216000000000002</v>
      </c>
      <c r="M69" s="136">
        <v>0.4</v>
      </c>
      <c r="N69" s="13">
        <f>($W69*N$33)+$X69</f>
        <v>0.45784000000000002</v>
      </c>
      <c r="O69" s="13">
        <f t="shared" ref="O69:Q80" si="16">($W69*O$33)+$X69</f>
        <v>0.51568000000000003</v>
      </c>
      <c r="P69" s="13">
        <f t="shared" si="16"/>
        <v>0.57352000000000003</v>
      </c>
      <c r="Q69" s="13">
        <f t="shared" si="16"/>
        <v>0.63136000000000014</v>
      </c>
      <c r="R69" s="131">
        <f>$R$59</f>
        <v>0.68920000000000015</v>
      </c>
      <c r="S69" s="123">
        <v>0.4</v>
      </c>
      <c r="T69" s="1">
        <f>M69</f>
        <v>0.4</v>
      </c>
      <c r="U69" s="1">
        <f t="shared" ref="U69:U79" si="17">R69</f>
        <v>0.68920000000000015</v>
      </c>
      <c r="V69" s="90" t="s">
        <v>44</v>
      </c>
      <c r="W69" s="91">
        <f>INDEX(LINEST(T69:U69,(T$33:U$33)^{1}),1)</f>
        <v>5.7840000000000009E-2</v>
      </c>
      <c r="X69" s="91">
        <f>INDEX(LINEST(T69:U69,(T$33:U$33)^{1}),1,2)</f>
        <v>0.34216000000000002</v>
      </c>
    </row>
    <row r="70" spans="1:24" x14ac:dyDescent="0.25">
      <c r="A70" s="83"/>
      <c r="B70" s="4">
        <v>2</v>
      </c>
      <c r="C70" s="1">
        <v>0.56999999999999995</v>
      </c>
      <c r="D70" s="1">
        <f t="shared" ref="D70:D80" si="18">C70+$D$68</f>
        <v>0.54999999999999993</v>
      </c>
      <c r="E70" s="1"/>
      <c r="F70" s="49">
        <f t="shared" si="14"/>
        <v>0.92723492723492729</v>
      </c>
      <c r="G70" s="12">
        <f t="shared" ref="G70:N80" si="19">($W70*G$33)+$X70</f>
        <v>0.15415999999999999</v>
      </c>
      <c r="H70" s="12">
        <f t="shared" si="19"/>
        <v>0.20280000000000001</v>
      </c>
      <c r="I70" s="12">
        <f t="shared" si="19"/>
        <v>0.25144</v>
      </c>
      <c r="J70" s="12">
        <f t="shared" si="19"/>
        <v>0.30008000000000001</v>
      </c>
      <c r="K70" s="12">
        <f t="shared" si="19"/>
        <v>0.34872000000000003</v>
      </c>
      <c r="L70" s="12">
        <f t="shared" si="19"/>
        <v>0.39736000000000005</v>
      </c>
      <c r="M70" s="137">
        <v>0.44600000000000001</v>
      </c>
      <c r="N70" s="12">
        <f t="shared" si="19"/>
        <v>0.49464000000000008</v>
      </c>
      <c r="O70" s="12">
        <f t="shared" si="16"/>
        <v>0.5432800000000001</v>
      </c>
      <c r="P70" s="12">
        <f t="shared" si="16"/>
        <v>0.59192000000000011</v>
      </c>
      <c r="Q70" s="12">
        <f t="shared" si="16"/>
        <v>0.64056000000000013</v>
      </c>
      <c r="R70" s="132">
        <f t="shared" ref="R70:R80" si="20">$R$59</f>
        <v>0.68920000000000015</v>
      </c>
      <c r="S70" s="124">
        <v>0.45</v>
      </c>
      <c r="T70" s="1">
        <f t="shared" ref="T70:T79" si="21">M70</f>
        <v>0.44600000000000001</v>
      </c>
      <c r="U70" s="1">
        <f t="shared" si="17"/>
        <v>0.68920000000000015</v>
      </c>
      <c r="V70" s="90" t="s">
        <v>44</v>
      </c>
      <c r="W70" s="91">
        <f>INDEX(LINEST(T70:U70,(T$33:U$33)^{1}),1)</f>
        <v>4.864000000000001E-2</v>
      </c>
      <c r="X70" s="91">
        <f>INDEX(LINEST(T70:U70,(T$33:U$33)^{1}),1,2)</f>
        <v>0.39736000000000005</v>
      </c>
    </row>
    <row r="71" spans="1:24" x14ac:dyDescent="0.25">
      <c r="A71" s="83"/>
      <c r="B71" s="4">
        <v>3</v>
      </c>
      <c r="C71" s="5">
        <v>0.54</v>
      </c>
      <c r="D71" s="5">
        <f t="shared" si="18"/>
        <v>0.52</v>
      </c>
      <c r="E71" s="1"/>
      <c r="F71" s="49">
        <f t="shared" si="14"/>
        <v>0.92857142857142849</v>
      </c>
      <c r="G71" s="14">
        <f t="shared" si="19"/>
        <v>0.23115999999999973</v>
      </c>
      <c r="H71" s="14">
        <f t="shared" si="19"/>
        <v>0.27279999999999976</v>
      </c>
      <c r="I71" s="14">
        <f t="shared" si="19"/>
        <v>0.31443999999999983</v>
      </c>
      <c r="J71" s="14">
        <f t="shared" si="19"/>
        <v>0.35607999999999984</v>
      </c>
      <c r="K71" s="14">
        <f t="shared" si="19"/>
        <v>0.39771999999999985</v>
      </c>
      <c r="L71" s="14">
        <f t="shared" si="19"/>
        <v>0.43935999999999992</v>
      </c>
      <c r="M71" s="138">
        <v>0.48099999999999998</v>
      </c>
      <c r="N71" s="14">
        <f t="shared" si="19"/>
        <v>0.52263999999999999</v>
      </c>
      <c r="O71" s="14">
        <f t="shared" si="16"/>
        <v>0.56428</v>
      </c>
      <c r="P71" s="14">
        <f t="shared" si="16"/>
        <v>0.60592000000000001</v>
      </c>
      <c r="Q71" s="14">
        <f t="shared" si="16"/>
        <v>0.64756000000000014</v>
      </c>
      <c r="R71" s="133">
        <f t="shared" si="20"/>
        <v>0.68920000000000015</v>
      </c>
      <c r="S71" s="125">
        <v>0.48</v>
      </c>
      <c r="T71" s="1">
        <f t="shared" si="21"/>
        <v>0.48099999999999998</v>
      </c>
      <c r="U71" s="1">
        <f t="shared" si="17"/>
        <v>0.68920000000000015</v>
      </c>
      <c r="V71" s="90" t="s">
        <v>44</v>
      </c>
      <c r="W71" s="91">
        <f>INDEX(LINEST(T71:U71,(T$33:U$33)^{1}),1)</f>
        <v>4.1640000000000038E-2</v>
      </c>
      <c r="X71" s="91">
        <f>INDEX(LINEST(T71:U71,(T$33:U$33)^{1}),1,2)</f>
        <v>0.43935999999999992</v>
      </c>
    </row>
    <row r="72" spans="1:24" x14ac:dyDescent="0.25">
      <c r="A72" s="83"/>
      <c r="B72" s="4">
        <v>4</v>
      </c>
      <c r="C72" s="1">
        <v>0.53</v>
      </c>
      <c r="D72" s="1">
        <f t="shared" si="18"/>
        <v>0.51</v>
      </c>
      <c r="E72" s="1"/>
      <c r="F72" s="49">
        <f t="shared" si="14"/>
        <v>0.94525547445255464</v>
      </c>
      <c r="G72" s="12">
        <f t="shared" si="19"/>
        <v>0.31255999999999995</v>
      </c>
      <c r="H72" s="12">
        <f t="shared" si="19"/>
        <v>0.3468</v>
      </c>
      <c r="I72" s="12">
        <f t="shared" si="19"/>
        <v>0.38104000000000005</v>
      </c>
      <c r="J72" s="12">
        <f t="shared" si="19"/>
        <v>0.41528000000000004</v>
      </c>
      <c r="K72" s="12">
        <f t="shared" si="19"/>
        <v>0.44952000000000003</v>
      </c>
      <c r="L72" s="12">
        <f t="shared" si="19"/>
        <v>0.48376000000000008</v>
      </c>
      <c r="M72" s="137">
        <v>0.51800000000000002</v>
      </c>
      <c r="N72" s="12">
        <f t="shared" si="19"/>
        <v>0.55224000000000006</v>
      </c>
      <c r="O72" s="12">
        <f t="shared" si="16"/>
        <v>0.58648000000000011</v>
      </c>
      <c r="P72" s="12">
        <f t="shared" si="16"/>
        <v>0.62072000000000016</v>
      </c>
      <c r="Q72" s="12">
        <f t="shared" si="16"/>
        <v>0.65496000000000021</v>
      </c>
      <c r="R72" s="132">
        <f t="shared" si="20"/>
        <v>0.68920000000000015</v>
      </c>
      <c r="S72" s="124">
        <v>0.51</v>
      </c>
      <c r="T72" s="1">
        <f t="shared" si="21"/>
        <v>0.51800000000000002</v>
      </c>
      <c r="U72" s="1">
        <f t="shared" si="17"/>
        <v>0.68920000000000015</v>
      </c>
      <c r="V72" s="90" t="s">
        <v>44</v>
      </c>
      <c r="W72" s="91">
        <f>INDEX(LINEST(T72:U72,(T$33:U$33)^{1}),1)</f>
        <v>3.424000000000002E-2</v>
      </c>
      <c r="X72" s="91">
        <f>INDEX(LINEST(T72:U72,(T$33:U$33)^{1}),1,2)</f>
        <v>0.48376000000000008</v>
      </c>
    </row>
    <row r="73" spans="1:24" x14ac:dyDescent="0.25">
      <c r="A73" s="83"/>
      <c r="B73" s="4">
        <v>5</v>
      </c>
      <c r="C73" s="1">
        <v>0.56000000000000005</v>
      </c>
      <c r="D73" s="1">
        <f t="shared" si="18"/>
        <v>0.54</v>
      </c>
      <c r="E73" s="1"/>
      <c r="F73" s="49">
        <f t="shared" si="14"/>
        <v>0.88529886914378042</v>
      </c>
      <c r="G73" s="12">
        <f t="shared" si="19"/>
        <v>0.37855999999999995</v>
      </c>
      <c r="H73" s="12">
        <f t="shared" si="19"/>
        <v>0.40679999999999994</v>
      </c>
      <c r="I73" s="12">
        <f t="shared" si="19"/>
        <v>0.43503999999999998</v>
      </c>
      <c r="J73" s="12">
        <f t="shared" si="19"/>
        <v>0.46327999999999997</v>
      </c>
      <c r="K73" s="12">
        <f t="shared" si="19"/>
        <v>0.49152000000000001</v>
      </c>
      <c r="L73" s="12">
        <f t="shared" si="19"/>
        <v>0.51976</v>
      </c>
      <c r="M73" s="137">
        <v>0.54800000000000004</v>
      </c>
      <c r="N73" s="12">
        <f t="shared" si="19"/>
        <v>0.57623999999999997</v>
      </c>
      <c r="O73" s="12">
        <f t="shared" si="16"/>
        <v>0.60448000000000002</v>
      </c>
      <c r="P73" s="12">
        <f t="shared" si="16"/>
        <v>0.63272000000000006</v>
      </c>
      <c r="Q73" s="12">
        <f t="shared" si="16"/>
        <v>0.66095999999999999</v>
      </c>
      <c r="R73" s="132">
        <f t="shared" si="20"/>
        <v>0.68920000000000015</v>
      </c>
      <c r="S73" s="124">
        <v>0.53800000000000003</v>
      </c>
      <c r="T73" s="1">
        <f t="shared" si="21"/>
        <v>0.54800000000000004</v>
      </c>
      <c r="U73" s="1">
        <f t="shared" si="17"/>
        <v>0.68920000000000015</v>
      </c>
      <c r="V73" s="90" t="s">
        <v>44</v>
      </c>
      <c r="W73" s="91">
        <f>INDEX(LINEST(T73:U73,(T$33:U$33)^{1}),1)</f>
        <v>2.8240000000000012E-2</v>
      </c>
      <c r="X73" s="91">
        <f>INDEX(LINEST(T73:U73,(T$33:U$33)^{1}),1,2)</f>
        <v>0.51976</v>
      </c>
    </row>
    <row r="74" spans="1:24" x14ac:dyDescent="0.25">
      <c r="A74" s="83"/>
      <c r="B74" s="4">
        <v>10</v>
      </c>
      <c r="C74" s="5">
        <v>0.64</v>
      </c>
      <c r="D74" s="5">
        <f t="shared" si="18"/>
        <v>0.62</v>
      </c>
      <c r="E74" s="1"/>
      <c r="F74" s="49">
        <f t="shared" si="14"/>
        <v>0.93787878787878787</v>
      </c>
      <c r="G74" s="14">
        <f t="shared" si="19"/>
        <v>0.5347599999999999</v>
      </c>
      <c r="H74" s="14">
        <f t="shared" si="19"/>
        <v>0.54879999999999995</v>
      </c>
      <c r="I74" s="14">
        <f t="shared" si="19"/>
        <v>0.56284000000000001</v>
      </c>
      <c r="J74" s="14">
        <f t="shared" si="19"/>
        <v>0.57688000000000006</v>
      </c>
      <c r="K74" s="14">
        <f>($W74*K$33)+$X74</f>
        <v>0.59092</v>
      </c>
      <c r="L74" s="14">
        <f t="shared" si="19"/>
        <v>0.60496000000000005</v>
      </c>
      <c r="M74" s="138">
        <v>0.61899999999999999</v>
      </c>
      <c r="N74" s="14">
        <f>($W74*N$33)+$X74</f>
        <v>0.63304000000000005</v>
      </c>
      <c r="O74" s="14">
        <f t="shared" si="16"/>
        <v>0.6470800000000001</v>
      </c>
      <c r="P74" s="14">
        <f t="shared" si="16"/>
        <v>0.66112000000000015</v>
      </c>
      <c r="Q74" s="14">
        <f t="shared" si="16"/>
        <v>0.6751600000000002</v>
      </c>
      <c r="R74" s="133">
        <f t="shared" si="20"/>
        <v>0.68920000000000015</v>
      </c>
      <c r="T74" s="1">
        <f t="shared" si="21"/>
        <v>0.61899999999999999</v>
      </c>
      <c r="U74" s="1">
        <f t="shared" si="17"/>
        <v>0.68920000000000015</v>
      </c>
      <c r="V74" s="90" t="s">
        <v>44</v>
      </c>
      <c r="W74" s="91">
        <f>INDEX(LINEST(T74:U74,(T$33:U$33)^{1}),1)</f>
        <v>1.4040000000000025E-2</v>
      </c>
      <c r="X74" s="91">
        <f>INDEX(LINEST(T74:U74,(T$33:U$33)^{1}),1,2)</f>
        <v>0.60496000000000005</v>
      </c>
    </row>
    <row r="75" spans="1:24" x14ac:dyDescent="0.25">
      <c r="A75" s="83"/>
      <c r="B75" s="4">
        <v>20</v>
      </c>
      <c r="C75" s="1">
        <v>0.66</v>
      </c>
      <c r="D75" s="1">
        <f t="shared" si="18"/>
        <v>0.64</v>
      </c>
      <c r="E75" s="1"/>
      <c r="F75" s="49">
        <f t="shared" si="14"/>
        <v>0.98068350668647841</v>
      </c>
      <c r="G75" s="12">
        <f t="shared" si="19"/>
        <v>0.62495999999999985</v>
      </c>
      <c r="H75" s="12">
        <f t="shared" si="19"/>
        <v>0.63079999999999992</v>
      </c>
      <c r="I75" s="12">
        <f t="shared" si="19"/>
        <v>0.63663999999999987</v>
      </c>
      <c r="J75" s="12">
        <f t="shared" si="19"/>
        <v>0.64247999999999994</v>
      </c>
      <c r="K75" s="12">
        <f t="shared" si="19"/>
        <v>0.6483199999999999</v>
      </c>
      <c r="L75" s="12">
        <f t="shared" si="19"/>
        <v>0.65415999999999996</v>
      </c>
      <c r="M75" s="137">
        <v>0.66</v>
      </c>
      <c r="N75" s="12">
        <f t="shared" si="19"/>
        <v>0.66583999999999999</v>
      </c>
      <c r="O75" s="12">
        <f t="shared" si="16"/>
        <v>0.67168000000000005</v>
      </c>
      <c r="P75" s="12">
        <f t="shared" si="16"/>
        <v>0.67752000000000001</v>
      </c>
      <c r="Q75" s="12">
        <f t="shared" si="16"/>
        <v>0.68336000000000008</v>
      </c>
      <c r="R75" s="132">
        <f t="shared" si="20"/>
        <v>0.68920000000000015</v>
      </c>
      <c r="T75" s="1">
        <f t="shared" si="21"/>
        <v>0.66</v>
      </c>
      <c r="U75" s="1">
        <f t="shared" si="17"/>
        <v>0.68920000000000015</v>
      </c>
      <c r="V75" s="90" t="s">
        <v>44</v>
      </c>
      <c r="W75" s="91">
        <f>INDEX(LINEST(T75:U75,(T$33:U$33)^{1}),1)</f>
        <v>5.8400000000000223E-3</v>
      </c>
      <c r="X75" s="91">
        <f>INDEX(LINEST(T75:U75,(T$33:U$33)^{1}),1,2)</f>
        <v>0.65415999999999996</v>
      </c>
    </row>
    <row r="76" spans="1:24" x14ac:dyDescent="0.25">
      <c r="A76" s="83"/>
      <c r="B76" s="4">
        <v>30</v>
      </c>
      <c r="C76" s="1">
        <v>0.68</v>
      </c>
      <c r="D76" s="1">
        <f t="shared" si="18"/>
        <v>0.66</v>
      </c>
      <c r="E76" s="1"/>
      <c r="F76" s="49">
        <f t="shared" si="14"/>
        <v>0.98970588235294121</v>
      </c>
      <c r="G76" s="12">
        <f t="shared" si="19"/>
        <v>0.65355999999999992</v>
      </c>
      <c r="H76" s="12">
        <f t="shared" si="19"/>
        <v>0.65679999999999994</v>
      </c>
      <c r="I76" s="12">
        <f t="shared" si="19"/>
        <v>0.66003999999999996</v>
      </c>
      <c r="J76" s="12">
        <f t="shared" si="19"/>
        <v>0.66327999999999998</v>
      </c>
      <c r="K76" s="12">
        <f t="shared" si="19"/>
        <v>0.66652</v>
      </c>
      <c r="L76" s="12">
        <f t="shared" si="19"/>
        <v>0.66976000000000002</v>
      </c>
      <c r="M76" s="137">
        <v>0.67300000000000004</v>
      </c>
      <c r="N76" s="12">
        <f t="shared" si="19"/>
        <v>0.67624000000000006</v>
      </c>
      <c r="O76" s="12">
        <f t="shared" si="16"/>
        <v>0.67948000000000008</v>
      </c>
      <c r="P76" s="12">
        <f t="shared" si="16"/>
        <v>0.6827200000000001</v>
      </c>
      <c r="Q76" s="12">
        <f t="shared" si="16"/>
        <v>0.68596000000000013</v>
      </c>
      <c r="R76" s="132">
        <f t="shared" si="20"/>
        <v>0.68920000000000015</v>
      </c>
      <c r="T76" s="1">
        <f t="shared" si="21"/>
        <v>0.67300000000000004</v>
      </c>
      <c r="U76" s="1">
        <f t="shared" si="17"/>
        <v>0.68920000000000015</v>
      </c>
      <c r="V76" s="90" t="s">
        <v>44</v>
      </c>
      <c r="W76" s="91">
        <f>INDEX(LINEST(T76:U76,(T$33:U$33)^{1}),1)</f>
        <v>3.2400000000000193E-3</v>
      </c>
      <c r="X76" s="91">
        <f>INDEX(LINEST(T76:U76,(T$33:U$33)^{1}),1,2)</f>
        <v>0.66976000000000002</v>
      </c>
    </row>
    <row r="77" spans="1:24" x14ac:dyDescent="0.25">
      <c r="A77" s="83"/>
      <c r="B77" s="4">
        <v>40</v>
      </c>
      <c r="C77" s="1">
        <v>0.69</v>
      </c>
      <c r="D77" s="1">
        <f t="shared" si="18"/>
        <v>0.66999999999999993</v>
      </c>
      <c r="E77" s="1"/>
      <c r="F77" s="49">
        <f t="shared" si="14"/>
        <v>0.99415204678362568</v>
      </c>
      <c r="G77" s="12">
        <f t="shared" si="19"/>
        <v>0.66895999999999989</v>
      </c>
      <c r="H77" s="12">
        <f t="shared" si="19"/>
        <v>0.67079999999999995</v>
      </c>
      <c r="I77" s="12">
        <f t="shared" si="19"/>
        <v>0.6726399999999999</v>
      </c>
      <c r="J77" s="12">
        <f t="shared" si="19"/>
        <v>0.67447999999999997</v>
      </c>
      <c r="K77" s="12">
        <f t="shared" si="19"/>
        <v>0.67631999999999992</v>
      </c>
      <c r="L77" s="12">
        <f t="shared" si="19"/>
        <v>0.67815999999999999</v>
      </c>
      <c r="M77" s="137">
        <v>0.68</v>
      </c>
      <c r="N77" s="12">
        <f t="shared" si="19"/>
        <v>0.68184</v>
      </c>
      <c r="O77" s="12">
        <f t="shared" si="16"/>
        <v>0.68368000000000007</v>
      </c>
      <c r="P77" s="12">
        <f t="shared" si="16"/>
        <v>0.68552000000000002</v>
      </c>
      <c r="Q77" s="12">
        <f t="shared" si="16"/>
        <v>0.68736000000000008</v>
      </c>
      <c r="R77" s="132">
        <f t="shared" si="20"/>
        <v>0.68920000000000015</v>
      </c>
      <c r="T77" s="1">
        <f t="shared" si="21"/>
        <v>0.68</v>
      </c>
      <c r="U77" s="1">
        <f t="shared" si="17"/>
        <v>0.68920000000000015</v>
      </c>
      <c r="V77" s="90" t="s">
        <v>44</v>
      </c>
      <c r="W77" s="91">
        <f>INDEX(LINEST(T77:U77,(T$33:U$33)^{1}),1)</f>
        <v>1.8400000000000189E-3</v>
      </c>
      <c r="X77" s="91">
        <f>INDEX(LINEST(T77:U77,(T$33:U$33)^{1}),1,2)</f>
        <v>0.67815999999999999</v>
      </c>
    </row>
    <row r="78" spans="1:24" x14ac:dyDescent="0.25">
      <c r="A78" s="83"/>
      <c r="B78" s="4">
        <v>50</v>
      </c>
      <c r="C78" s="1">
        <v>0.71</v>
      </c>
      <c r="D78" s="1">
        <f t="shared" si="18"/>
        <v>0.69</v>
      </c>
      <c r="E78" s="1"/>
      <c r="F78" s="49">
        <f t="shared" si="14"/>
        <v>0.99563318777292575</v>
      </c>
      <c r="G78" s="12">
        <f t="shared" si="19"/>
        <v>0.67775999999999992</v>
      </c>
      <c r="H78" s="12">
        <f t="shared" si="19"/>
        <v>0.67879999999999996</v>
      </c>
      <c r="I78" s="12">
        <f t="shared" si="19"/>
        <v>0.67984</v>
      </c>
      <c r="J78" s="12">
        <f t="shared" si="19"/>
        <v>0.68087999999999993</v>
      </c>
      <c r="K78" s="12">
        <f t="shared" si="19"/>
        <v>0.68191999999999997</v>
      </c>
      <c r="L78" s="12">
        <f t="shared" si="19"/>
        <v>0.68296000000000001</v>
      </c>
      <c r="M78" s="137">
        <v>0.68400000000000005</v>
      </c>
      <c r="N78" s="12">
        <f t="shared" si="19"/>
        <v>0.68504000000000009</v>
      </c>
      <c r="O78" s="12">
        <f t="shared" si="16"/>
        <v>0.68608000000000002</v>
      </c>
      <c r="P78" s="12">
        <f t="shared" si="16"/>
        <v>0.68712000000000006</v>
      </c>
      <c r="Q78" s="12">
        <f t="shared" si="16"/>
        <v>0.6881600000000001</v>
      </c>
      <c r="R78" s="132">
        <f t="shared" si="20"/>
        <v>0.68920000000000015</v>
      </c>
      <c r="T78" s="1">
        <f t="shared" si="21"/>
        <v>0.68400000000000005</v>
      </c>
      <c r="U78" s="1">
        <f t="shared" si="17"/>
        <v>0.68920000000000015</v>
      </c>
      <c r="V78" s="90" t="s">
        <v>44</v>
      </c>
      <c r="W78" s="91">
        <f>INDEX(LINEST(T78:U78,(T$33:U$33)^{1}),1)</f>
        <v>1.0400000000000186E-3</v>
      </c>
      <c r="X78" s="91">
        <f>INDEX(LINEST(T78:U78,(T$33:U$33)^{1}),1,2)</f>
        <v>0.68296000000000001</v>
      </c>
    </row>
    <row r="79" spans="1:24" x14ac:dyDescent="0.25">
      <c r="A79" s="83"/>
      <c r="B79" s="4">
        <v>60</v>
      </c>
      <c r="C79" s="1">
        <v>0.72</v>
      </c>
      <c r="D79" s="1">
        <f t="shared" si="18"/>
        <v>0.7</v>
      </c>
      <c r="E79" s="1"/>
      <c r="F79" s="49">
        <f t="shared" si="14"/>
        <v>0.99680789320951835</v>
      </c>
      <c r="G79" s="12">
        <f t="shared" si="19"/>
        <v>0.68435999999999997</v>
      </c>
      <c r="H79" s="12">
        <f t="shared" si="19"/>
        <v>0.68479999999999996</v>
      </c>
      <c r="I79" s="12">
        <f t="shared" si="19"/>
        <v>0.68523999999999996</v>
      </c>
      <c r="J79" s="12">
        <f t="shared" si="19"/>
        <v>0.68568000000000007</v>
      </c>
      <c r="K79" s="12">
        <f t="shared" si="19"/>
        <v>0.68612000000000006</v>
      </c>
      <c r="L79" s="12">
        <f t="shared" si="19"/>
        <v>0.68656000000000006</v>
      </c>
      <c r="M79" s="137">
        <v>0.68700000000000006</v>
      </c>
      <c r="N79" s="12">
        <f t="shared" si="19"/>
        <v>0.68744000000000005</v>
      </c>
      <c r="O79" s="12">
        <f t="shared" si="16"/>
        <v>0.68788000000000016</v>
      </c>
      <c r="P79" s="12">
        <f t="shared" si="16"/>
        <v>0.68832000000000015</v>
      </c>
      <c r="Q79" s="12">
        <f t="shared" si="16"/>
        <v>0.68876000000000015</v>
      </c>
      <c r="R79" s="132">
        <f t="shared" si="20"/>
        <v>0.68920000000000015</v>
      </c>
      <c r="T79" s="1">
        <f t="shared" si="21"/>
        <v>0.68700000000000006</v>
      </c>
      <c r="U79" s="1">
        <f t="shared" si="17"/>
        <v>0.68920000000000015</v>
      </c>
      <c r="V79" s="90" t="s">
        <v>44</v>
      </c>
      <c r="W79" s="91">
        <f>INDEX(LINEST(T79:U79,(T$33:U$33)^{1}),1)</f>
        <v>4.4000000000001801E-4</v>
      </c>
      <c r="X79" s="91">
        <f>INDEX(LINEST(T79:U79,(T$33:U$33)^{1}),1,2)</f>
        <v>0.68656000000000006</v>
      </c>
    </row>
    <row r="80" spans="1:24" x14ac:dyDescent="0.25">
      <c r="A80" s="83"/>
      <c r="B80" s="4">
        <v>70</v>
      </c>
      <c r="C80" s="5">
        <v>0.72</v>
      </c>
      <c r="D80" s="5">
        <f t="shared" si="18"/>
        <v>0.7</v>
      </c>
      <c r="E80" s="1"/>
      <c r="F80" s="52">
        <f>M80/M80</f>
        <v>1</v>
      </c>
      <c r="G80" s="53">
        <f t="shared" si="19"/>
        <v>0.68919999999999981</v>
      </c>
      <c r="H80" s="53">
        <f t="shared" si="19"/>
        <v>0.68919999999999981</v>
      </c>
      <c r="I80" s="53">
        <f t="shared" si="19"/>
        <v>0.68919999999999981</v>
      </c>
      <c r="J80" s="53">
        <f t="shared" si="19"/>
        <v>0.68919999999999992</v>
      </c>
      <c r="K80" s="53">
        <f t="shared" si="19"/>
        <v>0.68919999999999992</v>
      </c>
      <c r="L80" s="53">
        <f t="shared" si="19"/>
        <v>0.68919999999999992</v>
      </c>
      <c r="M80" s="139">
        <v>0.68920000000000003</v>
      </c>
      <c r="N80" s="53">
        <f>($W80*N$33)+$X80</f>
        <v>0.68919999999999992</v>
      </c>
      <c r="O80" s="53">
        <f t="shared" si="16"/>
        <v>0.68920000000000003</v>
      </c>
      <c r="P80" s="53">
        <f t="shared" si="16"/>
        <v>0.68920000000000003</v>
      </c>
      <c r="Q80" s="53">
        <f t="shared" si="16"/>
        <v>0.68920000000000003</v>
      </c>
      <c r="R80" s="134">
        <f t="shared" si="20"/>
        <v>0.68920000000000015</v>
      </c>
      <c r="T80" s="12">
        <f>M80</f>
        <v>0.68920000000000003</v>
      </c>
      <c r="U80" s="130">
        <f>R80</f>
        <v>0.68920000000000015</v>
      </c>
      <c r="V80" s="90" t="s">
        <v>44</v>
      </c>
      <c r="W80" s="91">
        <f>INDEX(LINEST(T80:U80,(T$33:U$33)^{1}),1)</f>
        <v>2.2204460492503129E-17</v>
      </c>
      <c r="X80" s="91">
        <f>INDEX(LINEST(T80:U80,(T$33:U$33)^{1}),1,2)</f>
        <v>0.68919999999999992</v>
      </c>
    </row>
    <row r="81" spans="1:22" x14ac:dyDescent="0.25">
      <c r="A81" s="83"/>
      <c r="T81" s="1"/>
      <c r="U81" s="1"/>
      <c r="V81" s="90"/>
    </row>
    <row r="82" spans="1:22" x14ac:dyDescent="0.25">
      <c r="D82" s="20" t="s">
        <v>78</v>
      </c>
      <c r="T82" s="1"/>
      <c r="U82" s="1"/>
      <c r="V82" s="90"/>
    </row>
    <row r="83" spans="1:22" x14ac:dyDescent="0.25">
      <c r="D83" s="20" t="s">
        <v>99</v>
      </c>
      <c r="T83" s="1"/>
      <c r="U83" s="1"/>
      <c r="V83" s="90"/>
    </row>
    <row r="84" spans="1:22" x14ac:dyDescent="0.25">
      <c r="D84" s="20" t="s">
        <v>100</v>
      </c>
      <c r="T84" s="1"/>
      <c r="U84" s="1"/>
      <c r="V84" s="90"/>
    </row>
    <row r="85" spans="1:22" x14ac:dyDescent="0.25">
      <c r="T85" s="1"/>
      <c r="U85" s="1" t="s">
        <v>111</v>
      </c>
      <c r="V85" s="90"/>
    </row>
    <row r="86" spans="1:22" x14ac:dyDescent="0.25">
      <c r="H86" s="4" t="s">
        <v>9</v>
      </c>
      <c r="M86" s="122" t="s">
        <v>93</v>
      </c>
    </row>
    <row r="87" spans="1:22" x14ac:dyDescent="0.25">
      <c r="B87" s="98" t="s">
        <v>79</v>
      </c>
      <c r="C87" s="22"/>
      <c r="D87" s="23"/>
      <c r="H87" s="4">
        <v>1</v>
      </c>
      <c r="J87" s="63">
        <f>(J69*$D$88*SQRT(4*$D$90*$B$94/32.2)/12)*$H87/2</f>
        <v>0.70094285972688419</v>
      </c>
      <c r="K87" s="63">
        <f t="shared" ref="K87:L87" si="22">(K69*$D$88*SQRT(4*$D$90*$B$94/32.2)/12)*$H87/2</f>
        <v>0.87995440602944042</v>
      </c>
      <c r="L87" s="63">
        <f t="shared" si="22"/>
        <v>1.058965952331997</v>
      </c>
      <c r="M87" s="63">
        <f>(M69*$D$88*SQRT(4*$D$90*$B$94/32.2)/12)*$H87/2</f>
        <v>1.2379774986345533</v>
      </c>
      <c r="N87" s="63">
        <f t="shared" ref="N87:R98" si="23">(N69*$D$88*SQRT(4*$D$90*$B$94/32.2)/12)*$H87/2</f>
        <v>1.4169890449371099</v>
      </c>
      <c r="O87" s="63">
        <f t="shared" si="23"/>
        <v>1.5960005912396662</v>
      </c>
      <c r="P87" s="63">
        <f t="shared" si="23"/>
        <v>1.7750121375422225</v>
      </c>
      <c r="Q87" s="63">
        <f t="shared" si="23"/>
        <v>1.9540236838447793</v>
      </c>
      <c r="R87" s="63">
        <f t="shared" si="23"/>
        <v>2.1330352301473359</v>
      </c>
      <c r="T87" s="11">
        <f>'curve_rzeta_targetnu_add_2.5'!N222</f>
        <v>1.1327423016478957</v>
      </c>
      <c r="U87" s="146">
        <v>1.2</v>
      </c>
    </row>
    <row r="88" spans="1:22" x14ac:dyDescent="0.25">
      <c r="B88" s="104" t="s">
        <v>82</v>
      </c>
      <c r="C88" s="105" t="s">
        <v>83</v>
      </c>
      <c r="D88" s="116">
        <v>0.9</v>
      </c>
      <c r="H88" s="4">
        <v>2</v>
      </c>
      <c r="J88" s="58">
        <f t="shared" ref="J88:M98" si="24">(J70*$D$88*SQRT(4*$D$90*$B$94/32.2)/12)*$H88/2</f>
        <v>1.857461438951284</v>
      </c>
      <c r="K88" s="58">
        <f t="shared" si="24"/>
        <v>2.158537566619207</v>
      </c>
      <c r="L88" s="58">
        <f t="shared" si="24"/>
        <v>2.4596136942871305</v>
      </c>
      <c r="M88" s="58">
        <f t="shared" si="24"/>
        <v>2.760689821955054</v>
      </c>
      <c r="N88" s="58">
        <f t="shared" si="23"/>
        <v>3.0617659496229774</v>
      </c>
      <c r="O88" s="58">
        <f t="shared" si="23"/>
        <v>3.3628420772909013</v>
      </c>
      <c r="P88" s="58">
        <f t="shared" si="23"/>
        <v>3.6639182049588244</v>
      </c>
      <c r="Q88" s="58">
        <f t="shared" si="23"/>
        <v>3.9649943326267478</v>
      </c>
      <c r="R88" s="58">
        <f t="shared" si="23"/>
        <v>4.2660704602946717</v>
      </c>
      <c r="T88" s="11">
        <f>'curve_rzeta_targetnu_add_2.5'!N223</f>
        <v>0.80386552709665182</v>
      </c>
      <c r="U88" s="147">
        <v>0.85</v>
      </c>
    </row>
    <row r="89" spans="1:22" x14ac:dyDescent="0.25">
      <c r="B89" s="104" t="s">
        <v>87</v>
      </c>
      <c r="C89" s="105" t="s">
        <v>88</v>
      </c>
      <c r="D89" s="116">
        <v>0.96</v>
      </c>
      <c r="H89" s="4">
        <v>3</v>
      </c>
      <c r="J89" s="67">
        <f t="shared" si="24"/>
        <v>3.3061427078534367</v>
      </c>
      <c r="K89" s="67">
        <f t="shared" si="24"/>
        <v>3.6927630806770075</v>
      </c>
      <c r="L89" s="67">
        <f t="shared" si="24"/>
        <v>4.0793834535005793</v>
      </c>
      <c r="M89" s="67">
        <f t="shared" si="24"/>
        <v>4.466003826324151</v>
      </c>
      <c r="N89" s="67">
        <f t="shared" si="23"/>
        <v>4.8526241991477219</v>
      </c>
      <c r="O89" s="67">
        <f t="shared" si="23"/>
        <v>5.2392445719712928</v>
      </c>
      <c r="P89" s="67">
        <f t="shared" si="23"/>
        <v>5.6258649447948637</v>
      </c>
      <c r="Q89" s="67">
        <f t="shared" si="23"/>
        <v>6.0124853176184354</v>
      </c>
      <c r="R89" s="67">
        <f t="shared" si="23"/>
        <v>6.3991056904420081</v>
      </c>
      <c r="T89" s="11">
        <f>'curve_rzeta_targetnu_add_2.5'!N224</f>
        <v>0.70723962775449734</v>
      </c>
      <c r="U89" s="147">
        <v>0.75</v>
      </c>
    </row>
    <row r="90" spans="1:22" x14ac:dyDescent="0.25">
      <c r="B90" s="106" t="s">
        <v>91</v>
      </c>
      <c r="C90" s="112" t="s">
        <v>92</v>
      </c>
      <c r="D90" s="117">
        <v>85</v>
      </c>
      <c r="H90" s="4">
        <v>4</v>
      </c>
      <c r="J90" s="58">
        <f t="shared" si="24"/>
        <v>5.1410729563295732</v>
      </c>
      <c r="K90" s="58">
        <f t="shared" si="24"/>
        <v>5.5649564518620442</v>
      </c>
      <c r="L90" s="58">
        <f t="shared" si="24"/>
        <v>5.9888399473945162</v>
      </c>
      <c r="M90" s="58">
        <f t="shared" si="24"/>
        <v>6.4127234429269855</v>
      </c>
      <c r="N90" s="58">
        <f t="shared" si="23"/>
        <v>6.8366069384594574</v>
      </c>
      <c r="O90" s="58">
        <f t="shared" si="23"/>
        <v>7.2604904339919294</v>
      </c>
      <c r="P90" s="58">
        <f t="shared" si="23"/>
        <v>7.6843739295244013</v>
      </c>
      <c r="Q90" s="58">
        <f t="shared" si="23"/>
        <v>8.1082574250568733</v>
      </c>
      <c r="R90" s="58">
        <f t="shared" si="23"/>
        <v>8.5321409205893435</v>
      </c>
      <c r="T90" s="11">
        <f>'curve_rzeta_targetnu_add_2.5'!N225</f>
        <v>0.65892667808342031</v>
      </c>
      <c r="U90" s="147">
        <v>0.72</v>
      </c>
    </row>
    <row r="91" spans="1:22" x14ac:dyDescent="0.25">
      <c r="B91" s="101" t="s">
        <v>81</v>
      </c>
      <c r="C91" s="102"/>
      <c r="D91" s="102"/>
      <c r="E91" s="103"/>
      <c r="H91" s="4">
        <v>5</v>
      </c>
      <c r="J91" s="58">
        <f t="shared" si="24"/>
        <v>7.1691276945926976</v>
      </c>
      <c r="K91" s="58">
        <f t="shared" si="24"/>
        <v>7.6061337516106953</v>
      </c>
      <c r="L91" s="58">
        <f t="shared" si="24"/>
        <v>8.0431398086286929</v>
      </c>
      <c r="M91" s="58">
        <f t="shared" si="24"/>
        <v>8.4801458656466906</v>
      </c>
      <c r="N91" s="58">
        <f t="shared" si="23"/>
        <v>8.9171519226646865</v>
      </c>
      <c r="O91" s="58">
        <f t="shared" si="23"/>
        <v>9.3541579796826859</v>
      </c>
      <c r="P91" s="58">
        <f t="shared" si="23"/>
        <v>9.7911640367006818</v>
      </c>
      <c r="Q91" s="58">
        <f t="shared" si="23"/>
        <v>10.228170093718681</v>
      </c>
      <c r="R91" s="58">
        <f t="shared" si="23"/>
        <v>10.665176150736679</v>
      </c>
      <c r="T91" s="11">
        <f>'curve_rzeta_targetnu_add_2.5'!N226</f>
        <v>0.64153863360609331</v>
      </c>
      <c r="U91" s="147">
        <v>0.71</v>
      </c>
    </row>
    <row r="92" spans="1:22" x14ac:dyDescent="0.25">
      <c r="B92" s="108" t="s">
        <v>85</v>
      </c>
      <c r="C92" s="109" t="s">
        <v>86</v>
      </c>
      <c r="D92" s="22"/>
      <c r="E92" s="23"/>
      <c r="H92" s="4">
        <v>10</v>
      </c>
      <c r="J92" s="67">
        <f t="shared" si="24"/>
        <v>17.854111485307527</v>
      </c>
      <c r="K92" s="67">
        <f t="shared" si="24"/>
        <v>18.288641587328254</v>
      </c>
      <c r="L92" s="67">
        <f t="shared" si="24"/>
        <v>18.723171689348984</v>
      </c>
      <c r="M92" s="67">
        <f t="shared" si="24"/>
        <v>19.157701791369711</v>
      </c>
      <c r="N92" s="67">
        <f t="shared" si="23"/>
        <v>19.592231893390441</v>
      </c>
      <c r="O92" s="67">
        <f t="shared" si="23"/>
        <v>20.026761995411171</v>
      </c>
      <c r="P92" s="67">
        <f t="shared" si="23"/>
        <v>20.461292097431901</v>
      </c>
      <c r="Q92" s="67">
        <f t="shared" si="23"/>
        <v>20.895822199452631</v>
      </c>
      <c r="R92" s="67">
        <f t="shared" si="23"/>
        <v>21.330352301473358</v>
      </c>
      <c r="T92" s="11">
        <f>'curve_rzeta_targetnu_add_2.5'!N227</f>
        <v>0.60976247361488434</v>
      </c>
      <c r="U92" s="147">
        <v>0.7</v>
      </c>
    </row>
    <row r="93" spans="1:22" x14ac:dyDescent="0.25">
      <c r="B93" s="110" t="s">
        <v>89</v>
      </c>
      <c r="C93" s="111" t="s">
        <v>90</v>
      </c>
      <c r="E93" s="25"/>
      <c r="H93" s="4">
        <v>20</v>
      </c>
      <c r="J93" s="58">
        <f t="shared" si="24"/>
        <v>39.768789166136386</v>
      </c>
      <c r="K93" s="58">
        <f t="shared" si="24"/>
        <v>40.130278595737671</v>
      </c>
      <c r="L93" s="58">
        <f t="shared" si="24"/>
        <v>40.491768025338963</v>
      </c>
      <c r="M93" s="58">
        <f t="shared" si="24"/>
        <v>40.853257454940255</v>
      </c>
      <c r="N93" s="58">
        <f t="shared" si="23"/>
        <v>41.21474688454154</v>
      </c>
      <c r="O93" s="58">
        <f t="shared" si="23"/>
        <v>41.576236314142847</v>
      </c>
      <c r="P93" s="58">
        <f t="shared" si="23"/>
        <v>41.937725743744124</v>
      </c>
      <c r="Q93" s="58">
        <f t="shared" si="23"/>
        <v>42.299215173345424</v>
      </c>
      <c r="R93" s="58">
        <f t="shared" si="23"/>
        <v>42.660704602946716</v>
      </c>
      <c r="T93" s="11">
        <f>'curve_rzeta_targetnu_add_2.5'!N228</f>
        <v>0.60037423970674353</v>
      </c>
      <c r="U93" s="147">
        <v>0.7</v>
      </c>
    </row>
    <row r="94" spans="1:22" x14ac:dyDescent="0.25">
      <c r="B94" s="113">
        <f>D89*2.20462*25.4*12</f>
        <v>645.0894489599998</v>
      </c>
      <c r="C94" s="27"/>
      <c r="D94" s="118"/>
      <c r="E94" s="29"/>
      <c r="H94" s="4">
        <v>30</v>
      </c>
      <c r="J94" s="58">
        <f t="shared" si="24"/>
        <v>61.584428647074489</v>
      </c>
      <c r="K94" s="58">
        <f t="shared" si="24"/>
        <v>61.885257179242686</v>
      </c>
      <c r="L94" s="58">
        <f t="shared" si="24"/>
        <v>62.186085711410875</v>
      </c>
      <c r="M94" s="58">
        <f t="shared" si="24"/>
        <v>62.486914243579072</v>
      </c>
      <c r="N94" s="58">
        <f t="shared" si="23"/>
        <v>62.787742775747276</v>
      </c>
      <c r="O94" s="58">
        <f t="shared" si="23"/>
        <v>63.088571307915473</v>
      </c>
      <c r="P94" s="58">
        <f t="shared" si="23"/>
        <v>63.389399840083676</v>
      </c>
      <c r="Q94" s="58">
        <f t="shared" si="23"/>
        <v>63.690228372251873</v>
      </c>
      <c r="R94" s="58">
        <f t="shared" si="23"/>
        <v>63.991056904420077</v>
      </c>
      <c r="T94" s="11">
        <f>'curve_rzeta_targetnu_add_2.5'!N229</f>
        <v>0.59991143192709162</v>
      </c>
      <c r="U94" s="147">
        <v>0.7</v>
      </c>
    </row>
    <row r="95" spans="1:22" x14ac:dyDescent="0.25">
      <c r="H95" s="4">
        <v>40</v>
      </c>
      <c r="J95" s="58">
        <f t="shared" si="24"/>
        <v>83.499106327903348</v>
      </c>
      <c r="K95" s="58">
        <f t="shared" si="24"/>
        <v>83.726894187652078</v>
      </c>
      <c r="L95" s="58">
        <f t="shared" si="24"/>
        <v>83.954682047400851</v>
      </c>
      <c r="M95" s="58">
        <f t="shared" si="24"/>
        <v>84.182469907149638</v>
      </c>
      <c r="N95" s="58">
        <f t="shared" si="23"/>
        <v>84.410257766898383</v>
      </c>
      <c r="O95" s="58">
        <f t="shared" si="23"/>
        <v>84.638045626647141</v>
      </c>
      <c r="P95" s="58">
        <f t="shared" si="23"/>
        <v>84.8658334863959</v>
      </c>
      <c r="Q95" s="58">
        <f t="shared" si="23"/>
        <v>85.093621346144644</v>
      </c>
      <c r="R95" s="58">
        <f t="shared" si="23"/>
        <v>85.321409205893431</v>
      </c>
      <c r="T95" s="11">
        <f>'curve_rzeta_targetnu_add_2.5'!N230</f>
        <v>0.60018001619784</v>
      </c>
      <c r="U95" s="147">
        <v>0.7</v>
      </c>
    </row>
    <row r="96" spans="1:22" x14ac:dyDescent="0.25">
      <c r="B96" s="99" t="s">
        <v>80</v>
      </c>
      <c r="C96" s="100"/>
      <c r="H96" s="4">
        <v>50</v>
      </c>
      <c r="J96" s="58">
        <f t="shared" si="24"/>
        <v>105.36426490878684</v>
      </c>
      <c r="K96" s="58">
        <f t="shared" si="24"/>
        <v>105.52520198360931</v>
      </c>
      <c r="L96" s="58">
        <f t="shared" si="24"/>
        <v>105.68613905843181</v>
      </c>
      <c r="M96" s="58">
        <f t="shared" si="24"/>
        <v>105.8470761332543</v>
      </c>
      <c r="N96" s="58">
        <f t="shared" si="23"/>
        <v>106.0080132080768</v>
      </c>
      <c r="O96" s="58">
        <f t="shared" si="23"/>
        <v>106.16895028289927</v>
      </c>
      <c r="P96" s="58">
        <f t="shared" si="23"/>
        <v>106.3298873577218</v>
      </c>
      <c r="Q96" s="58">
        <f t="shared" si="23"/>
        <v>106.4908244325443</v>
      </c>
      <c r="R96" s="58">
        <f t="shared" si="23"/>
        <v>106.6517615073668</v>
      </c>
      <c r="T96" s="11">
        <f>'curve_rzeta_targetnu_add_2.5'!N231</f>
        <v>0.60014117149605906</v>
      </c>
      <c r="U96" s="147">
        <v>0.7</v>
      </c>
    </row>
    <row r="97" spans="1:25" x14ac:dyDescent="0.25">
      <c r="B97" s="106" t="s">
        <v>84</v>
      </c>
      <c r="C97" s="107">
        <v>0.7</v>
      </c>
      <c r="H97" s="4">
        <v>60</v>
      </c>
      <c r="J97" s="58">
        <f t="shared" si="24"/>
        <v>127.32846168956111</v>
      </c>
      <c r="K97" s="58">
        <f t="shared" si="24"/>
        <v>127.41016820447096</v>
      </c>
      <c r="L97" s="58">
        <f t="shared" si="24"/>
        <v>127.49187471938087</v>
      </c>
      <c r="M97" s="58">
        <f t="shared" si="24"/>
        <v>127.57358123429073</v>
      </c>
      <c r="N97" s="58">
        <f t="shared" si="23"/>
        <v>127.6552877492006</v>
      </c>
      <c r="O97" s="58">
        <f t="shared" si="23"/>
        <v>127.73699426411051</v>
      </c>
      <c r="P97" s="58">
        <f t="shared" si="23"/>
        <v>127.81870077902039</v>
      </c>
      <c r="Q97" s="58">
        <f t="shared" si="23"/>
        <v>127.90040729393024</v>
      </c>
      <c r="R97" s="58">
        <f t="shared" si="23"/>
        <v>127.98211380884015</v>
      </c>
      <c r="T97" s="11">
        <f>'curve_rzeta_targetnu_add_2.5'!N232</f>
        <v>0.60044860046858817</v>
      </c>
      <c r="U97" s="147">
        <v>0.7</v>
      </c>
    </row>
    <row r="98" spans="1:25" x14ac:dyDescent="0.25">
      <c r="H98" s="4">
        <v>70</v>
      </c>
      <c r="J98" s="67">
        <f t="shared" si="24"/>
        <v>149.31246611031344</v>
      </c>
      <c r="K98" s="67">
        <f t="shared" si="24"/>
        <v>149.31246611031344</v>
      </c>
      <c r="L98" s="67">
        <f t="shared" si="24"/>
        <v>149.31246611031344</v>
      </c>
      <c r="M98" s="67">
        <f t="shared" si="24"/>
        <v>149.31246611031349</v>
      </c>
      <c r="N98" s="67">
        <f t="shared" si="23"/>
        <v>149.31246611031344</v>
      </c>
      <c r="O98" s="67">
        <f t="shared" si="23"/>
        <v>149.31246611031349</v>
      </c>
      <c r="P98" s="67">
        <f t="shared" si="23"/>
        <v>149.31246611031349</v>
      </c>
      <c r="Q98" s="67">
        <f t="shared" si="23"/>
        <v>149.31246611031349</v>
      </c>
      <c r="R98" s="67">
        <f t="shared" si="23"/>
        <v>149.31246611031352</v>
      </c>
      <c r="T98" s="11">
        <f>'curve_rzeta_targetnu_add_2.5'!N233</f>
        <v>0.59972535777474034</v>
      </c>
      <c r="U98" s="148">
        <v>0.7</v>
      </c>
    </row>
    <row r="99" spans="1:25" x14ac:dyDescent="0.25">
      <c r="M99" s="114"/>
    </row>
    <row r="100" spans="1:25" x14ac:dyDescent="0.25">
      <c r="M100" s="114"/>
    </row>
    <row r="101" spans="1:25" x14ac:dyDescent="0.25">
      <c r="M101" s="114"/>
    </row>
    <row r="102" spans="1:25" ht="15.75" thickBot="1" x14ac:dyDescent="0.3">
      <c r="A102" s="141"/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2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</row>
    <row r="103" spans="1:25" ht="15.75" thickTop="1" x14ac:dyDescent="0.25">
      <c r="M103" s="114"/>
    </row>
    <row r="104" spans="1:25" x14ac:dyDescent="0.25">
      <c r="M104" s="114"/>
    </row>
    <row r="105" spans="1:25" x14ac:dyDescent="0.25">
      <c r="A105" t="s">
        <v>73</v>
      </c>
      <c r="B105" t="s">
        <v>74</v>
      </c>
    </row>
    <row r="106" spans="1:25" x14ac:dyDescent="0.25">
      <c r="B106" s="20" t="s">
        <v>102</v>
      </c>
    </row>
    <row r="107" spans="1:25" x14ac:dyDescent="0.25">
      <c r="A107" s="83"/>
      <c r="B107" s="20"/>
    </row>
    <row r="108" spans="1:25" x14ac:dyDescent="0.25">
      <c r="A108" s="83"/>
      <c r="B108" s="135">
        <v>0.11924999999999999</v>
      </c>
    </row>
    <row r="109" spans="1:25" x14ac:dyDescent="0.25">
      <c r="A109" s="83"/>
      <c r="B109" s="85">
        <v>1</v>
      </c>
    </row>
    <row r="110" spans="1:25" x14ac:dyDescent="0.25">
      <c r="A110" s="83">
        <v>1</v>
      </c>
      <c r="B110" s="86">
        <f>B109+B$108</f>
        <v>1.1192500000000001</v>
      </c>
      <c r="H110" s="7"/>
      <c r="L110" s="21"/>
      <c r="M110" s="31" t="s">
        <v>38</v>
      </c>
      <c r="N110" s="32">
        <f>B110</f>
        <v>1.1192500000000001</v>
      </c>
      <c r="O110" s="32">
        <f>B111</f>
        <v>1.2385000000000002</v>
      </c>
      <c r="P110" s="32">
        <f>B112</f>
        <v>1.3577500000000002</v>
      </c>
      <c r="Q110" s="32">
        <f>B113</f>
        <v>1.4770000000000003</v>
      </c>
      <c r="R110" s="32">
        <f>B114</f>
        <v>1.5962500000000004</v>
      </c>
      <c r="S110" s="33"/>
    </row>
    <row r="111" spans="1:25" x14ac:dyDescent="0.25">
      <c r="A111" s="83">
        <v>2</v>
      </c>
      <c r="B111" s="86">
        <f t="shared" ref="B111:B115" si="25">B110+B$108</f>
        <v>1.2385000000000002</v>
      </c>
      <c r="L111" s="34"/>
      <c r="M111" s="35">
        <v>1</v>
      </c>
      <c r="N111" s="35">
        <v>2</v>
      </c>
      <c r="O111" s="35">
        <v>3</v>
      </c>
      <c r="P111" s="35">
        <v>4</v>
      </c>
      <c r="Q111" s="35">
        <v>5</v>
      </c>
      <c r="R111" s="35">
        <v>6</v>
      </c>
      <c r="S111" s="36"/>
    </row>
    <row r="112" spans="1:25" x14ac:dyDescent="0.25">
      <c r="A112" s="83">
        <v>3</v>
      </c>
      <c r="B112" s="86">
        <f t="shared" si="25"/>
        <v>1.3577500000000002</v>
      </c>
      <c r="K112" s="2" t="s">
        <v>76</v>
      </c>
      <c r="L112" s="24"/>
      <c r="M112" s="124">
        <v>0.4</v>
      </c>
      <c r="N112" s="11">
        <f>$M112*N110</f>
        <v>0.44770000000000004</v>
      </c>
      <c r="O112" s="11">
        <f>$M112*O110</f>
        <v>0.49540000000000006</v>
      </c>
      <c r="P112" s="11">
        <f>$M112*P110</f>
        <v>0.54310000000000014</v>
      </c>
      <c r="Q112" s="11">
        <f>$M112*Q110</f>
        <v>0.5908000000000001</v>
      </c>
      <c r="R112" s="130">
        <f>$M112*R110</f>
        <v>0.63850000000000018</v>
      </c>
      <c r="S112" s="36" t="s">
        <v>39</v>
      </c>
      <c r="T112" s="140">
        <f>R112/M133</f>
        <v>1.0000000000000004</v>
      </c>
      <c r="U112">
        <f>B108/T112</f>
        <v>0.11924999999999994</v>
      </c>
    </row>
    <row r="113" spans="1:24" x14ac:dyDescent="0.25">
      <c r="A113" s="83">
        <v>4</v>
      </c>
      <c r="B113" s="86">
        <f t="shared" si="25"/>
        <v>1.4770000000000003</v>
      </c>
      <c r="L113" s="26"/>
      <c r="M113" s="38">
        <f t="shared" ref="M113:R113" si="26">M112</f>
        <v>0.4</v>
      </c>
      <c r="N113" s="38">
        <f t="shared" si="26"/>
        <v>0.44770000000000004</v>
      </c>
      <c r="O113" s="38">
        <f t="shared" si="26"/>
        <v>0.49540000000000006</v>
      </c>
      <c r="P113" s="38">
        <f t="shared" si="26"/>
        <v>0.54310000000000014</v>
      </c>
      <c r="Q113" s="38">
        <f t="shared" si="26"/>
        <v>0.5908000000000001</v>
      </c>
      <c r="R113" s="38">
        <f t="shared" si="26"/>
        <v>0.63850000000000018</v>
      </c>
      <c r="S113" s="39" t="s">
        <v>42</v>
      </c>
    </row>
    <row r="114" spans="1:24" x14ac:dyDescent="0.25">
      <c r="A114" s="83">
        <v>5</v>
      </c>
      <c r="B114" s="86">
        <f t="shared" si="25"/>
        <v>1.5962500000000004</v>
      </c>
    </row>
    <row r="115" spans="1:24" x14ac:dyDescent="0.25">
      <c r="A115" s="83">
        <v>6</v>
      </c>
      <c r="B115" s="86">
        <f t="shared" si="25"/>
        <v>1.7155000000000005</v>
      </c>
      <c r="D115" t="s">
        <v>72</v>
      </c>
      <c r="K115" s="18"/>
      <c r="L115" s="18"/>
    </row>
    <row r="116" spans="1:24" x14ac:dyDescent="0.25">
      <c r="A116" s="83"/>
      <c r="B116" s="86"/>
      <c r="F116" s="40" t="s">
        <v>101</v>
      </c>
      <c r="G116" s="22"/>
      <c r="H116" s="22"/>
      <c r="I116" s="22"/>
      <c r="J116" s="22"/>
      <c r="K116" s="22"/>
      <c r="L116" s="22"/>
      <c r="M116" s="167">
        <v>0.65</v>
      </c>
      <c r="N116" s="22"/>
      <c r="O116" s="22"/>
      <c r="P116" s="22"/>
      <c r="Q116" s="55" t="s">
        <v>45</v>
      </c>
      <c r="R116" s="23"/>
    </row>
    <row r="117" spans="1:24" x14ac:dyDescent="0.25">
      <c r="A117" s="83"/>
      <c r="B117" s="20"/>
      <c r="F117" s="24"/>
      <c r="R117" s="25"/>
    </row>
    <row r="118" spans="1:24" x14ac:dyDescent="0.25">
      <c r="A118" s="83"/>
      <c r="F118" s="41"/>
      <c r="G118" s="42"/>
      <c r="H118" s="42"/>
      <c r="I118" s="42"/>
      <c r="J118" s="42"/>
      <c r="K118" s="42"/>
      <c r="L118" s="159" t="s">
        <v>105</v>
      </c>
      <c r="M118" s="160" t="s">
        <v>104</v>
      </c>
      <c r="N118" s="160" t="s">
        <v>106</v>
      </c>
      <c r="O118" s="161" t="s">
        <v>107</v>
      </c>
      <c r="P118" s="42"/>
      <c r="Q118" s="42"/>
      <c r="R118" s="43"/>
    </row>
    <row r="119" spans="1:24" x14ac:dyDescent="0.25">
      <c r="A119" s="83"/>
      <c r="C119" s="73" t="s">
        <v>34</v>
      </c>
      <c r="F119" s="44"/>
      <c r="G119" s="4">
        <v>-5</v>
      </c>
      <c r="H119" s="4">
        <v>-4</v>
      </c>
      <c r="I119" s="4">
        <v>-3</v>
      </c>
      <c r="J119" s="4">
        <v>-2</v>
      </c>
      <c r="K119" s="4">
        <v>-1</v>
      </c>
      <c r="L119" s="44">
        <v>0</v>
      </c>
      <c r="M119" s="4">
        <v>1</v>
      </c>
      <c r="N119" s="4">
        <v>2</v>
      </c>
      <c r="O119" s="45">
        <v>3</v>
      </c>
      <c r="P119" s="4">
        <v>4</v>
      </c>
      <c r="Q119" s="4">
        <v>5</v>
      </c>
      <c r="R119" s="45">
        <v>6</v>
      </c>
      <c r="T119" s="4">
        <v>1</v>
      </c>
      <c r="U119" s="4">
        <v>6</v>
      </c>
    </row>
    <row r="120" spans="1:24" x14ac:dyDescent="0.25">
      <c r="A120" s="83"/>
      <c r="B120" s="4"/>
      <c r="C120" s="4" t="s">
        <v>10</v>
      </c>
      <c r="D120" s="87" t="s">
        <v>37</v>
      </c>
      <c r="E120" s="73"/>
      <c r="F120" s="24"/>
      <c r="L120" s="24"/>
      <c r="N120" s="46" t="s">
        <v>43</v>
      </c>
      <c r="O120" s="25"/>
      <c r="R120" s="25"/>
    </row>
    <row r="121" spans="1:24" x14ac:dyDescent="0.25">
      <c r="A121" s="83"/>
      <c r="B121" s="4" t="s">
        <v>9</v>
      </c>
      <c r="C121" s="88" t="s">
        <v>36</v>
      </c>
      <c r="D121" s="89">
        <v>-0.02</v>
      </c>
      <c r="E121" s="74"/>
      <c r="F121" s="24"/>
      <c r="G121" s="47"/>
      <c r="H121" s="47"/>
      <c r="I121" s="47"/>
      <c r="J121" s="47"/>
      <c r="K121" s="47"/>
      <c r="L121" s="162"/>
      <c r="M121" s="144">
        <f>M112</f>
        <v>0.4</v>
      </c>
      <c r="N121" s="144">
        <f>N112</f>
        <v>0.44770000000000004</v>
      </c>
      <c r="O121" s="145">
        <f t="shared" ref="O121:R121" si="27">O112</f>
        <v>0.49540000000000006</v>
      </c>
      <c r="P121" s="144">
        <f t="shared" si="27"/>
        <v>0.54310000000000014</v>
      </c>
      <c r="Q121" s="144">
        <f t="shared" si="27"/>
        <v>0.5908000000000001</v>
      </c>
      <c r="R121" s="145">
        <f t="shared" si="27"/>
        <v>0.63850000000000018</v>
      </c>
    </row>
    <row r="122" spans="1:24" x14ac:dyDescent="0.25">
      <c r="A122" s="83"/>
      <c r="B122" s="4">
        <v>1</v>
      </c>
      <c r="C122" s="6">
        <v>0.78</v>
      </c>
      <c r="D122" s="6">
        <f>C122+$D$68</f>
        <v>0.76</v>
      </c>
      <c r="E122" s="1"/>
      <c r="F122" s="49">
        <f t="shared" ref="F122:F132" si="28">M122/M123</f>
        <v>0.87073170731707317</v>
      </c>
      <c r="G122" s="13">
        <f>($W122*G$33)+$X122</f>
        <v>1.9199999999999773E-2</v>
      </c>
      <c r="H122" s="13">
        <f t="shared" ref="H122:K122" si="29">($W122*H$33)+$X122</f>
        <v>7.5499999999999817E-2</v>
      </c>
      <c r="I122" s="13">
        <f t="shared" si="29"/>
        <v>0.13179999999999986</v>
      </c>
      <c r="J122" s="13">
        <f t="shared" si="29"/>
        <v>0.18809999999999988</v>
      </c>
      <c r="K122" s="13">
        <f t="shared" si="29"/>
        <v>0.24439999999999992</v>
      </c>
      <c r="L122" s="163">
        <f>($W122*L$33)+$X122</f>
        <v>0.30069999999999997</v>
      </c>
      <c r="M122" s="136">
        <v>0.35699999999999998</v>
      </c>
      <c r="N122" s="13">
        <f>($W122*N$33)+$X122</f>
        <v>0.41330000000000006</v>
      </c>
      <c r="O122" s="76">
        <f t="shared" ref="O122:Q133" si="30">($W122*O$33)+$X122</f>
        <v>0.46960000000000007</v>
      </c>
      <c r="P122" s="13">
        <f t="shared" si="30"/>
        <v>0.52590000000000015</v>
      </c>
      <c r="Q122" s="13">
        <f t="shared" si="30"/>
        <v>0.58220000000000016</v>
      </c>
      <c r="R122" s="131">
        <f>$R$112</f>
        <v>0.63850000000000018</v>
      </c>
      <c r="S122" s="12">
        <v>0.35695874175055153</v>
      </c>
      <c r="T122" s="1">
        <f>M122</f>
        <v>0.35699999999999998</v>
      </c>
      <c r="U122" s="1">
        <f t="shared" ref="U122:U132" si="31">R122</f>
        <v>0.63850000000000018</v>
      </c>
      <c r="V122" s="90" t="s">
        <v>44</v>
      </c>
      <c r="W122" s="91">
        <f>INDEX(LINEST(T122:U122,(T$33:U$33)^{1}),1)</f>
        <v>5.6300000000000038E-2</v>
      </c>
      <c r="X122" s="91">
        <f>INDEX(LINEST(T122:U122,(T$33:U$33)^{1}),1,2)</f>
        <v>0.30069999999999997</v>
      </c>
    </row>
    <row r="123" spans="1:24" x14ac:dyDescent="0.25">
      <c r="A123" s="83"/>
      <c r="B123" s="4">
        <v>2</v>
      </c>
      <c r="C123" s="1">
        <v>0.56999999999999995</v>
      </c>
      <c r="D123" s="1">
        <f t="shared" ref="D123:D133" si="32">C123+$D$68</f>
        <v>0.54999999999999993</v>
      </c>
      <c r="E123" s="1"/>
      <c r="F123" s="49">
        <f t="shared" si="28"/>
        <v>0.89130434782608692</v>
      </c>
      <c r="G123" s="12">
        <f t="shared" ref="G123:N133" si="33">($W123*G$33)+$X123</f>
        <v>0.13579999999999998</v>
      </c>
      <c r="H123" s="12">
        <f t="shared" si="33"/>
        <v>0.18149999999999999</v>
      </c>
      <c r="I123" s="12">
        <f t="shared" si="33"/>
        <v>0.22720000000000001</v>
      </c>
      <c r="J123" s="12">
        <f t="shared" si="33"/>
        <v>0.27290000000000003</v>
      </c>
      <c r="K123" s="12">
        <f t="shared" si="33"/>
        <v>0.31860000000000005</v>
      </c>
      <c r="L123" s="164">
        <f t="shared" si="33"/>
        <v>0.36430000000000007</v>
      </c>
      <c r="M123" s="137">
        <v>0.41</v>
      </c>
      <c r="N123" s="12">
        <f t="shared" si="33"/>
        <v>0.4557000000000001</v>
      </c>
      <c r="O123" s="127">
        <f t="shared" si="30"/>
        <v>0.50140000000000007</v>
      </c>
      <c r="P123" s="12">
        <f t="shared" si="30"/>
        <v>0.54710000000000014</v>
      </c>
      <c r="Q123" s="12">
        <f t="shared" si="30"/>
        <v>0.59280000000000022</v>
      </c>
      <c r="R123" s="132">
        <f t="shared" ref="R123:R133" si="34">$R$112</f>
        <v>0.63850000000000018</v>
      </c>
      <c r="S123" s="12">
        <v>0.41567310778278849</v>
      </c>
      <c r="T123" s="1">
        <f t="shared" ref="T123:T132" si="35">M123</f>
        <v>0.41</v>
      </c>
      <c r="U123" s="1">
        <f t="shared" si="31"/>
        <v>0.63850000000000018</v>
      </c>
      <c r="V123" s="90" t="s">
        <v>44</v>
      </c>
      <c r="W123" s="91">
        <f>INDEX(LINEST(T123:U123,(T$33:U$33)^{1}),1)</f>
        <v>4.5700000000000018E-2</v>
      </c>
      <c r="X123" s="91">
        <f>INDEX(LINEST(T123:U123,(T$33:U$33)^{1}),1,2)</f>
        <v>0.36430000000000007</v>
      </c>
    </row>
    <row r="124" spans="1:24" x14ac:dyDescent="0.25">
      <c r="A124" s="83"/>
      <c r="B124" s="4">
        <v>3</v>
      </c>
      <c r="C124" s="5">
        <v>0.54</v>
      </c>
      <c r="D124" s="5">
        <f t="shared" si="32"/>
        <v>0.52</v>
      </c>
      <c r="E124" s="1"/>
      <c r="F124" s="49">
        <f t="shared" si="28"/>
        <v>0.94845360824742275</v>
      </c>
      <c r="G124" s="14">
        <f t="shared" si="33"/>
        <v>0.24579999999999985</v>
      </c>
      <c r="H124" s="14">
        <f t="shared" si="33"/>
        <v>0.28149999999999986</v>
      </c>
      <c r="I124" s="14">
        <f t="shared" si="33"/>
        <v>0.31719999999999993</v>
      </c>
      <c r="J124" s="14">
        <f t="shared" si="33"/>
        <v>0.35289999999999994</v>
      </c>
      <c r="K124" s="14">
        <f t="shared" si="33"/>
        <v>0.3886</v>
      </c>
      <c r="L124" s="165">
        <f t="shared" si="33"/>
        <v>0.42430000000000001</v>
      </c>
      <c r="M124" s="138">
        <v>0.46</v>
      </c>
      <c r="N124" s="14">
        <f t="shared" si="33"/>
        <v>0.49570000000000008</v>
      </c>
      <c r="O124" s="128">
        <f t="shared" si="30"/>
        <v>0.53140000000000009</v>
      </c>
      <c r="P124" s="14">
        <f t="shared" si="30"/>
        <v>0.56710000000000016</v>
      </c>
      <c r="Q124" s="14">
        <f t="shared" si="30"/>
        <v>0.60280000000000022</v>
      </c>
      <c r="R124" s="133">
        <f t="shared" si="34"/>
        <v>0.63850000000000018</v>
      </c>
      <c r="S124" s="12">
        <v>0.45420322038264671</v>
      </c>
      <c r="T124" s="1">
        <f t="shared" si="35"/>
        <v>0.46</v>
      </c>
      <c r="U124" s="1">
        <f t="shared" si="31"/>
        <v>0.63850000000000018</v>
      </c>
      <c r="V124" s="90" t="s">
        <v>44</v>
      </c>
      <c r="W124" s="91">
        <f>INDEX(LINEST(T124:U124,(T$33:U$33)^{1}),1)</f>
        <v>3.570000000000003E-2</v>
      </c>
      <c r="X124" s="91">
        <f>INDEX(LINEST(T124:U124,(T$33:U$33)^{1}),1,2)</f>
        <v>0.42430000000000001</v>
      </c>
    </row>
    <row r="125" spans="1:24" x14ac:dyDescent="0.25">
      <c r="A125" s="83"/>
      <c r="B125" s="4">
        <v>4</v>
      </c>
      <c r="C125" s="1">
        <v>0.53</v>
      </c>
      <c r="D125" s="1">
        <f t="shared" si="32"/>
        <v>0.51</v>
      </c>
      <c r="E125" s="1"/>
      <c r="F125" s="49">
        <f t="shared" si="28"/>
        <v>0.96039603960396036</v>
      </c>
      <c r="G125" s="12">
        <f t="shared" si="33"/>
        <v>0.30079999999999985</v>
      </c>
      <c r="H125" s="12">
        <f t="shared" si="33"/>
        <v>0.33149999999999991</v>
      </c>
      <c r="I125" s="12">
        <f t="shared" si="33"/>
        <v>0.36219999999999991</v>
      </c>
      <c r="J125" s="12">
        <f t="shared" si="33"/>
        <v>0.39289999999999992</v>
      </c>
      <c r="K125" s="12">
        <f t="shared" si="33"/>
        <v>0.42359999999999998</v>
      </c>
      <c r="L125" s="164">
        <f t="shared" si="33"/>
        <v>0.45429999999999998</v>
      </c>
      <c r="M125" s="137">
        <v>0.48499999999999999</v>
      </c>
      <c r="N125" s="12">
        <f t="shared" si="33"/>
        <v>0.51570000000000005</v>
      </c>
      <c r="O125" s="127">
        <f t="shared" si="30"/>
        <v>0.5464</v>
      </c>
      <c r="P125" s="12">
        <f t="shared" si="30"/>
        <v>0.57710000000000006</v>
      </c>
      <c r="Q125" s="12">
        <f t="shared" si="30"/>
        <v>0.60780000000000012</v>
      </c>
      <c r="R125" s="132">
        <f t="shared" si="34"/>
        <v>0.63850000000000018</v>
      </c>
      <c r="S125" s="12">
        <v>0.49229133150629062</v>
      </c>
      <c r="T125" s="1">
        <f t="shared" si="35"/>
        <v>0.48499999999999999</v>
      </c>
      <c r="U125" s="1">
        <f t="shared" si="31"/>
        <v>0.63850000000000018</v>
      </c>
      <c r="V125" s="90" t="s">
        <v>44</v>
      </c>
      <c r="W125" s="91">
        <f>INDEX(LINEST(T125:U125,(T$33:U$33)^{1}),1)</f>
        <v>3.0700000000000026E-2</v>
      </c>
      <c r="X125" s="91">
        <f>INDEX(LINEST(T125:U125,(T$33:U$33)^{1}),1,2)</f>
        <v>0.45429999999999998</v>
      </c>
    </row>
    <row r="126" spans="1:24" x14ac:dyDescent="0.25">
      <c r="A126" s="83"/>
      <c r="B126" s="4">
        <v>5</v>
      </c>
      <c r="C126" s="1">
        <v>0.56000000000000005</v>
      </c>
      <c r="D126" s="1">
        <f t="shared" si="32"/>
        <v>0.54</v>
      </c>
      <c r="E126" s="1"/>
      <c r="F126" s="49">
        <f t="shared" si="28"/>
        <v>0.88596491228070184</v>
      </c>
      <c r="G126" s="12">
        <f t="shared" si="33"/>
        <v>0.34479999999999977</v>
      </c>
      <c r="H126" s="12">
        <f t="shared" si="33"/>
        <v>0.37149999999999983</v>
      </c>
      <c r="I126" s="12">
        <f t="shared" si="33"/>
        <v>0.39819999999999983</v>
      </c>
      <c r="J126" s="12">
        <f t="shared" si="33"/>
        <v>0.42489999999999989</v>
      </c>
      <c r="K126" s="12">
        <f t="shared" si="33"/>
        <v>0.45159999999999989</v>
      </c>
      <c r="L126" s="164">
        <f t="shared" si="33"/>
        <v>0.47829999999999995</v>
      </c>
      <c r="M126" s="137">
        <v>0.505</v>
      </c>
      <c r="N126" s="12">
        <f t="shared" si="33"/>
        <v>0.53170000000000006</v>
      </c>
      <c r="O126" s="127">
        <f t="shared" si="30"/>
        <v>0.55840000000000001</v>
      </c>
      <c r="P126" s="12">
        <f t="shared" si="30"/>
        <v>0.58510000000000006</v>
      </c>
      <c r="Q126" s="12">
        <f t="shared" si="30"/>
        <v>0.61180000000000012</v>
      </c>
      <c r="R126" s="132">
        <f t="shared" si="34"/>
        <v>0.63850000000000018</v>
      </c>
      <c r="S126" s="12">
        <v>0.52266852127537111</v>
      </c>
      <c r="T126" s="1">
        <f t="shared" si="35"/>
        <v>0.505</v>
      </c>
      <c r="U126" s="1">
        <f t="shared" si="31"/>
        <v>0.63850000000000018</v>
      </c>
      <c r="V126" s="90" t="s">
        <v>44</v>
      </c>
      <c r="W126" s="91">
        <f>INDEX(LINEST(T126:U126,(T$33:U$33)^{1}),1)</f>
        <v>2.6700000000000033E-2</v>
      </c>
      <c r="X126" s="91">
        <f>INDEX(LINEST(T126:U126,(T$33:U$33)^{1}),1,2)</f>
        <v>0.47829999999999995</v>
      </c>
    </row>
    <row r="127" spans="1:24" x14ac:dyDescent="0.25">
      <c r="A127" s="83"/>
      <c r="B127" s="4">
        <v>10</v>
      </c>
      <c r="C127" s="5">
        <v>0.64</v>
      </c>
      <c r="D127" s="5">
        <f t="shared" si="32"/>
        <v>0.62</v>
      </c>
      <c r="E127" s="1"/>
      <c r="F127" s="49">
        <f t="shared" si="28"/>
        <v>0.93503937007874005</v>
      </c>
      <c r="G127" s="14">
        <f t="shared" si="33"/>
        <v>0.48779999999999968</v>
      </c>
      <c r="H127" s="14">
        <f t="shared" si="33"/>
        <v>0.50149999999999972</v>
      </c>
      <c r="I127" s="14">
        <f t="shared" si="33"/>
        <v>0.51519999999999977</v>
      </c>
      <c r="J127" s="14">
        <f t="shared" si="33"/>
        <v>0.52889999999999981</v>
      </c>
      <c r="K127" s="14">
        <f>($W127*K$33)+$X127</f>
        <v>0.54259999999999986</v>
      </c>
      <c r="L127" s="165">
        <f t="shared" si="33"/>
        <v>0.55629999999999991</v>
      </c>
      <c r="M127" s="138">
        <v>0.56999999999999995</v>
      </c>
      <c r="N127" s="14">
        <f>($W127*N$33)+$X127</f>
        <v>0.5837</v>
      </c>
      <c r="O127" s="128">
        <f t="shared" si="30"/>
        <v>0.59740000000000004</v>
      </c>
      <c r="P127" s="14">
        <f t="shared" si="30"/>
        <v>0.61110000000000009</v>
      </c>
      <c r="Q127" s="14">
        <f t="shared" si="30"/>
        <v>0.62480000000000013</v>
      </c>
      <c r="R127" s="133">
        <f t="shared" si="34"/>
        <v>0.63850000000000018</v>
      </c>
      <c r="S127" s="12">
        <v>0.59400701364157493</v>
      </c>
      <c r="T127" s="1">
        <f t="shared" si="35"/>
        <v>0.56999999999999995</v>
      </c>
      <c r="U127" s="1">
        <f t="shared" si="31"/>
        <v>0.63850000000000018</v>
      </c>
      <c r="V127" s="90" t="s">
        <v>44</v>
      </c>
      <c r="W127" s="91">
        <f>INDEX(LINEST(T127:U127,(T$33:U$33)^{1}),1)</f>
        <v>1.3700000000000042E-2</v>
      </c>
      <c r="X127" s="91">
        <f>INDEX(LINEST(T127:U127,(T$33:U$33)^{1}),1,2)</f>
        <v>0.55629999999999991</v>
      </c>
    </row>
    <row r="128" spans="1:24" x14ac:dyDescent="0.25">
      <c r="A128" s="83"/>
      <c r="B128" s="4">
        <v>20</v>
      </c>
      <c r="C128" s="1">
        <v>0.66</v>
      </c>
      <c r="D128" s="1">
        <f t="shared" si="32"/>
        <v>0.64</v>
      </c>
      <c r="E128" s="1"/>
      <c r="F128" s="49">
        <f t="shared" si="28"/>
        <v>0.97833413577274919</v>
      </c>
      <c r="G128" s="12">
        <f t="shared" si="33"/>
        <v>0.57491999999999988</v>
      </c>
      <c r="H128" s="12">
        <f t="shared" si="33"/>
        <v>0.58069999999999988</v>
      </c>
      <c r="I128" s="12">
        <f t="shared" si="33"/>
        <v>0.58647999999999989</v>
      </c>
      <c r="J128" s="12">
        <f t="shared" si="33"/>
        <v>0.59226000000000001</v>
      </c>
      <c r="K128" s="12">
        <f t="shared" si="33"/>
        <v>0.59804000000000002</v>
      </c>
      <c r="L128" s="164">
        <f t="shared" si="33"/>
        <v>0.60382000000000002</v>
      </c>
      <c r="M128" s="137">
        <v>0.60960000000000003</v>
      </c>
      <c r="N128" s="12">
        <f t="shared" si="33"/>
        <v>0.61538000000000004</v>
      </c>
      <c r="O128" s="127">
        <f t="shared" si="30"/>
        <v>0.62116000000000016</v>
      </c>
      <c r="P128" s="12">
        <f t="shared" si="30"/>
        <v>0.62694000000000016</v>
      </c>
      <c r="Q128" s="12">
        <f t="shared" si="30"/>
        <v>0.63272000000000017</v>
      </c>
      <c r="R128" s="132">
        <f t="shared" si="34"/>
        <v>0.63850000000000018</v>
      </c>
      <c r="S128" s="12">
        <v>0.60962526171190512</v>
      </c>
      <c r="T128" s="1">
        <f t="shared" si="35"/>
        <v>0.60960000000000003</v>
      </c>
      <c r="U128" s="1">
        <f t="shared" si="31"/>
        <v>0.63850000000000018</v>
      </c>
      <c r="V128" s="90" t="s">
        <v>44</v>
      </c>
      <c r="W128" s="91">
        <f>INDEX(LINEST(T128:U128,(T$33:U$33)^{1}),1)</f>
        <v>5.780000000000029E-3</v>
      </c>
      <c r="X128" s="91">
        <f>INDEX(LINEST(T128:U128,(T$33:U$33)^{1}),1,2)</f>
        <v>0.60382000000000002</v>
      </c>
    </row>
    <row r="129" spans="1:25" x14ac:dyDescent="0.25">
      <c r="A129" s="83"/>
      <c r="B129" s="4">
        <v>30</v>
      </c>
      <c r="C129" s="1">
        <v>0.68</v>
      </c>
      <c r="D129" s="1">
        <f t="shared" si="32"/>
        <v>0.66</v>
      </c>
      <c r="E129" s="1"/>
      <c r="F129" s="49">
        <f t="shared" si="28"/>
        <v>0.9893617021276595</v>
      </c>
      <c r="G129" s="12">
        <f t="shared" si="33"/>
        <v>0.60461999999999971</v>
      </c>
      <c r="H129" s="12">
        <f t="shared" si="33"/>
        <v>0.6076999999999998</v>
      </c>
      <c r="I129" s="12">
        <f t="shared" si="33"/>
        <v>0.61077999999999977</v>
      </c>
      <c r="J129" s="12">
        <f t="shared" si="33"/>
        <v>0.61385999999999985</v>
      </c>
      <c r="K129" s="12">
        <f t="shared" si="33"/>
        <v>0.61693999999999982</v>
      </c>
      <c r="L129" s="164">
        <f t="shared" si="33"/>
        <v>0.6200199999999999</v>
      </c>
      <c r="M129" s="137">
        <v>0.62309999999999999</v>
      </c>
      <c r="N129" s="12">
        <f t="shared" si="33"/>
        <v>0.62617999999999996</v>
      </c>
      <c r="O129" s="127">
        <f t="shared" si="30"/>
        <v>0.62926000000000004</v>
      </c>
      <c r="P129" s="12">
        <f t="shared" si="30"/>
        <v>0.63234000000000001</v>
      </c>
      <c r="Q129" s="12">
        <f t="shared" si="30"/>
        <v>0.6354200000000001</v>
      </c>
      <c r="R129" s="132">
        <f t="shared" si="34"/>
        <v>0.63850000000000018</v>
      </c>
      <c r="S129" s="12">
        <v>0.62309017854909576</v>
      </c>
      <c r="T129" s="1">
        <f t="shared" si="35"/>
        <v>0.62309999999999999</v>
      </c>
      <c r="U129" s="1">
        <f t="shared" si="31"/>
        <v>0.63850000000000018</v>
      </c>
      <c r="V129" s="90" t="s">
        <v>44</v>
      </c>
      <c r="W129" s="91">
        <f>INDEX(LINEST(T129:U129,(T$33:U$33)^{1}),1)</f>
        <v>3.0800000000000384E-3</v>
      </c>
      <c r="X129" s="91">
        <f>INDEX(LINEST(T129:U129,(T$33:U$33)^{1}),1,2)</f>
        <v>0.6200199999999999</v>
      </c>
    </row>
    <row r="130" spans="1:25" x14ac:dyDescent="0.25">
      <c r="A130" s="83"/>
      <c r="B130" s="4">
        <v>40</v>
      </c>
      <c r="C130" s="1">
        <v>0.69</v>
      </c>
      <c r="D130" s="1">
        <f t="shared" si="32"/>
        <v>0.66999999999999993</v>
      </c>
      <c r="E130" s="1"/>
      <c r="F130" s="49">
        <f t="shared" si="28"/>
        <v>0.99353210285533999</v>
      </c>
      <c r="G130" s="12">
        <f t="shared" si="33"/>
        <v>0.6193599999999998</v>
      </c>
      <c r="H130" s="12">
        <f t="shared" si="33"/>
        <v>0.62109999999999987</v>
      </c>
      <c r="I130" s="12">
        <f t="shared" si="33"/>
        <v>0.62283999999999984</v>
      </c>
      <c r="J130" s="12">
        <f t="shared" si="33"/>
        <v>0.62457999999999991</v>
      </c>
      <c r="K130" s="12">
        <f t="shared" si="33"/>
        <v>0.62631999999999988</v>
      </c>
      <c r="L130" s="164">
        <f t="shared" si="33"/>
        <v>0.62805999999999995</v>
      </c>
      <c r="M130" s="137">
        <v>0.62980000000000003</v>
      </c>
      <c r="N130" s="12">
        <f t="shared" si="33"/>
        <v>0.63153999999999999</v>
      </c>
      <c r="O130" s="127">
        <f t="shared" si="30"/>
        <v>0.63328000000000007</v>
      </c>
      <c r="P130" s="12">
        <f t="shared" si="30"/>
        <v>0.63502000000000003</v>
      </c>
      <c r="Q130" s="12">
        <f t="shared" si="30"/>
        <v>0.6367600000000001</v>
      </c>
      <c r="R130" s="132">
        <f t="shared" si="34"/>
        <v>0.63850000000000018</v>
      </c>
      <c r="S130" s="12">
        <v>0.62982050599542028</v>
      </c>
      <c r="T130" s="1">
        <f t="shared" si="35"/>
        <v>0.62980000000000003</v>
      </c>
      <c r="U130" s="1">
        <f t="shared" si="31"/>
        <v>0.63850000000000018</v>
      </c>
      <c r="V130" s="90" t="s">
        <v>44</v>
      </c>
      <c r="W130" s="91">
        <f>INDEX(LINEST(T130:U130,(T$33:U$33)^{1}),1)</f>
        <v>1.7400000000000297E-3</v>
      </c>
      <c r="X130" s="91">
        <f>INDEX(LINEST(T130:U130,(T$33:U$33)^{1}),1,2)</f>
        <v>0.62805999999999995</v>
      </c>
    </row>
    <row r="131" spans="1:25" x14ac:dyDescent="0.25">
      <c r="A131" s="83"/>
      <c r="B131" s="4">
        <v>50</v>
      </c>
      <c r="C131" s="1">
        <v>0.71</v>
      </c>
      <c r="D131" s="1">
        <f t="shared" si="32"/>
        <v>0.69</v>
      </c>
      <c r="E131" s="1"/>
      <c r="F131" s="49">
        <f t="shared" si="28"/>
        <v>0.99575871819038642</v>
      </c>
      <c r="G131" s="12">
        <f t="shared" si="33"/>
        <v>0.62837999999999983</v>
      </c>
      <c r="H131" s="12">
        <f t="shared" si="33"/>
        <v>0.62929999999999986</v>
      </c>
      <c r="I131" s="12">
        <f t="shared" si="33"/>
        <v>0.63021999999999989</v>
      </c>
      <c r="J131" s="12">
        <f t="shared" si="33"/>
        <v>0.63113999999999992</v>
      </c>
      <c r="K131" s="12">
        <f t="shared" si="33"/>
        <v>0.63205999999999996</v>
      </c>
      <c r="L131" s="164">
        <f t="shared" si="33"/>
        <v>0.63297999999999999</v>
      </c>
      <c r="M131" s="137">
        <v>0.63390000000000002</v>
      </c>
      <c r="N131" s="12">
        <f t="shared" si="33"/>
        <v>0.63482000000000005</v>
      </c>
      <c r="O131" s="127">
        <f t="shared" si="30"/>
        <v>0.63574000000000008</v>
      </c>
      <c r="P131" s="12">
        <f t="shared" si="30"/>
        <v>0.63666000000000011</v>
      </c>
      <c r="Q131" s="12">
        <f t="shared" si="30"/>
        <v>0.63758000000000015</v>
      </c>
      <c r="R131" s="132">
        <f t="shared" si="34"/>
        <v>0.63850000000000018</v>
      </c>
      <c r="S131" s="12">
        <v>0.63386100299744597</v>
      </c>
      <c r="T131" s="1">
        <f t="shared" si="35"/>
        <v>0.63390000000000002</v>
      </c>
      <c r="U131" s="1">
        <f t="shared" si="31"/>
        <v>0.63850000000000018</v>
      </c>
      <c r="V131" s="90" t="s">
        <v>44</v>
      </c>
      <c r="W131" s="91">
        <f>INDEX(LINEST(T131:U131,(T$33:U$33)^{1}),1)</f>
        <v>9.2000000000003169E-4</v>
      </c>
      <c r="X131" s="91">
        <f>INDEX(LINEST(T131:U131,(T$33:U$33)^{1}),1,2)</f>
        <v>0.63297999999999999</v>
      </c>
    </row>
    <row r="132" spans="1:25" x14ac:dyDescent="0.25">
      <c r="A132" s="83"/>
      <c r="B132" s="4">
        <v>60</v>
      </c>
      <c r="C132" s="1">
        <v>0.72</v>
      </c>
      <c r="D132" s="1">
        <f t="shared" si="32"/>
        <v>0.7</v>
      </c>
      <c r="E132" s="1"/>
      <c r="F132" s="49">
        <f t="shared" si="28"/>
        <v>0.99702427564604557</v>
      </c>
      <c r="G132" s="12">
        <f t="shared" si="33"/>
        <v>0.63431999999999988</v>
      </c>
      <c r="H132" s="12">
        <f t="shared" si="33"/>
        <v>0.63469999999999993</v>
      </c>
      <c r="I132" s="12">
        <f t="shared" si="33"/>
        <v>0.63507999999999998</v>
      </c>
      <c r="J132" s="12">
        <f t="shared" si="33"/>
        <v>0.63545999999999991</v>
      </c>
      <c r="K132" s="12">
        <f t="shared" si="33"/>
        <v>0.63583999999999996</v>
      </c>
      <c r="L132" s="164">
        <f t="shared" si="33"/>
        <v>0.63622000000000001</v>
      </c>
      <c r="M132" s="137">
        <v>0.63660000000000005</v>
      </c>
      <c r="N132" s="12">
        <f t="shared" si="33"/>
        <v>0.6369800000000001</v>
      </c>
      <c r="O132" s="127">
        <f t="shared" si="30"/>
        <v>0.63736000000000004</v>
      </c>
      <c r="P132" s="12">
        <f t="shared" si="30"/>
        <v>0.63774000000000008</v>
      </c>
      <c r="Q132" s="12">
        <f t="shared" si="30"/>
        <v>0.63812000000000013</v>
      </c>
      <c r="R132" s="132">
        <f t="shared" si="34"/>
        <v>0.63850000000000018</v>
      </c>
      <c r="S132" s="12">
        <v>0.63655355509640266</v>
      </c>
      <c r="T132" s="1">
        <f t="shared" si="35"/>
        <v>0.63660000000000005</v>
      </c>
      <c r="U132" s="1">
        <f t="shared" si="31"/>
        <v>0.63850000000000018</v>
      </c>
      <c r="V132" s="90" t="s">
        <v>44</v>
      </c>
      <c r="W132" s="91">
        <f>INDEX(LINEST(T132:U132,(T$33:U$33)^{1}),1)</f>
        <v>3.8000000000002463E-4</v>
      </c>
      <c r="X132" s="91">
        <f>INDEX(LINEST(T132:U132,(T$33:U$33)^{1}),1,2)</f>
        <v>0.63622000000000001</v>
      </c>
    </row>
    <row r="133" spans="1:25" x14ac:dyDescent="0.25">
      <c r="A133" s="83"/>
      <c r="B133" s="4">
        <v>70</v>
      </c>
      <c r="C133" s="5">
        <v>0.72</v>
      </c>
      <c r="D133" s="5">
        <f t="shared" si="32"/>
        <v>0.7</v>
      </c>
      <c r="E133" s="1"/>
      <c r="F133" s="52">
        <f>M133/M133</f>
        <v>1</v>
      </c>
      <c r="G133" s="53">
        <f t="shared" si="33"/>
        <v>0.63849999999999973</v>
      </c>
      <c r="H133" s="53">
        <f t="shared" si="33"/>
        <v>0.63849999999999973</v>
      </c>
      <c r="I133" s="53">
        <f t="shared" si="33"/>
        <v>0.63849999999999985</v>
      </c>
      <c r="J133" s="53">
        <f t="shared" si="33"/>
        <v>0.63849999999999985</v>
      </c>
      <c r="K133" s="53">
        <f t="shared" si="33"/>
        <v>0.63849999999999996</v>
      </c>
      <c r="L133" s="166">
        <f t="shared" si="33"/>
        <v>0.63849999999999996</v>
      </c>
      <c r="M133" s="139">
        <v>0.63849999999999996</v>
      </c>
      <c r="N133" s="53">
        <f>($W133*N$33)+$X133</f>
        <v>0.63850000000000007</v>
      </c>
      <c r="O133" s="129">
        <f t="shared" si="30"/>
        <v>0.63850000000000007</v>
      </c>
      <c r="P133" s="53">
        <f t="shared" si="30"/>
        <v>0.63850000000000018</v>
      </c>
      <c r="Q133" s="53">
        <f t="shared" si="30"/>
        <v>0.63850000000000018</v>
      </c>
      <c r="R133" s="134">
        <f t="shared" si="34"/>
        <v>0.63850000000000018</v>
      </c>
      <c r="S133" s="12">
        <v>0.63847626171927951</v>
      </c>
      <c r="T133" s="12">
        <f>M133</f>
        <v>0.63849999999999996</v>
      </c>
      <c r="U133" s="130">
        <f>R133</f>
        <v>0.63850000000000018</v>
      </c>
      <c r="V133" s="90" t="s">
        <v>44</v>
      </c>
      <c r="W133" s="91">
        <f>INDEX(LINEST(T133:U133,(T$33:U$33)^{1}),1)</f>
        <v>4.4408920985006258E-17</v>
      </c>
      <c r="X133" s="91">
        <f>INDEX(LINEST(T133:U133,(T$33:U$33)^{1}),1,2)</f>
        <v>0.63849999999999996</v>
      </c>
    </row>
    <row r="134" spans="1:25" x14ac:dyDescent="0.25">
      <c r="A134" s="83"/>
      <c r="T134" s="1"/>
      <c r="U134" s="1"/>
      <c r="V134" s="90"/>
    </row>
    <row r="135" spans="1:25" x14ac:dyDescent="0.25">
      <c r="D135" s="20" t="s">
        <v>78</v>
      </c>
      <c r="T135" s="1"/>
      <c r="U135" s="1"/>
      <c r="V135" s="90"/>
    </row>
    <row r="136" spans="1:25" x14ac:dyDescent="0.25">
      <c r="D136" s="20" t="s">
        <v>99</v>
      </c>
      <c r="T136" s="1"/>
      <c r="U136" s="1"/>
      <c r="V136" s="90"/>
    </row>
    <row r="137" spans="1:25" x14ac:dyDescent="0.25">
      <c r="D137" s="20" t="s">
        <v>100</v>
      </c>
      <c r="T137" s="1"/>
    </row>
    <row r="138" spans="1:25" x14ac:dyDescent="0.25">
      <c r="T138" s="1"/>
      <c r="U138" s="7"/>
    </row>
    <row r="139" spans="1:25" x14ac:dyDescent="0.25">
      <c r="H139" s="4" t="s">
        <v>9</v>
      </c>
      <c r="M139" s="122" t="s">
        <v>93</v>
      </c>
      <c r="V139" s="152" t="s">
        <v>77</v>
      </c>
      <c r="W139">
        <f>0.65/0.7</f>
        <v>0.92857142857142871</v>
      </c>
      <c r="X139" s="1" t="s">
        <v>103</v>
      </c>
      <c r="Y139" t="s">
        <v>112</v>
      </c>
    </row>
    <row r="140" spans="1:25" x14ac:dyDescent="0.25">
      <c r="B140" s="98"/>
      <c r="C140" s="22"/>
      <c r="D140" s="23"/>
      <c r="H140" s="4">
        <v>1</v>
      </c>
      <c r="J140" s="63">
        <f>(J122*$D$88*SQRT(4*$D$90*$B$94/32.2)/12)*$H140/2</f>
        <v>0.58215891873289827</v>
      </c>
      <c r="K140" s="63">
        <f t="shared" ref="K140:L140" si="36">(K122*$D$88*SQRT(4*$D$90*$B$94/32.2)/12)*$H140/2</f>
        <v>0.75640425166571179</v>
      </c>
      <c r="L140" s="63">
        <f t="shared" si="36"/>
        <v>0.93064958459852531</v>
      </c>
      <c r="M140" s="63">
        <f>(M122*$D$88*SQRT(4*$D$90*$B$94/32.2)/12)*$H140/2</f>
        <v>1.1048949175313387</v>
      </c>
      <c r="N140" s="63">
        <f t="shared" ref="N140:R140" si="37">(N122*$D$88*SQRT(4*$D$90*$B$94/32.2)/12)*$H140/2</f>
        <v>1.2791402504641523</v>
      </c>
      <c r="O140" s="63">
        <f t="shared" si="37"/>
        <v>1.4533855833969656</v>
      </c>
      <c r="P140" s="63">
        <f t="shared" si="37"/>
        <v>1.6276309163297793</v>
      </c>
      <c r="Q140" s="63">
        <f t="shared" si="37"/>
        <v>1.8018762492625926</v>
      </c>
      <c r="R140" s="63">
        <f t="shared" si="37"/>
        <v>1.9761215821954063</v>
      </c>
      <c r="T140" s="12">
        <f>'curve_rzeta_targetnu_add_2.5'!N222</f>
        <v>1.1327423016478957</v>
      </c>
      <c r="W140" s="153">
        <f t="shared" ref="W140:W151" si="38">X140*$W$139</f>
        <v>1.1142857142857143</v>
      </c>
      <c r="X140" s="149">
        <v>1.2</v>
      </c>
      <c r="Y140" s="170">
        <f>T140/W140</f>
        <v>1.0165636040429833</v>
      </c>
    </row>
    <row r="141" spans="1:25" x14ac:dyDescent="0.25">
      <c r="B141" s="104"/>
      <c r="C141" s="105"/>
      <c r="D141" s="116"/>
      <c r="H141" s="4">
        <v>2</v>
      </c>
      <c r="J141" s="58">
        <f t="shared" ref="J141:R151" si="39">(J123*$D$88*SQRT(4*$D$90*$B$94/32.2)/12)*$H141/2</f>
        <v>1.6892202968868482</v>
      </c>
      <c r="K141" s="58">
        <f t="shared" si="39"/>
        <v>1.9720981553248436</v>
      </c>
      <c r="L141" s="58">
        <f t="shared" si="39"/>
        <v>2.254976013762839</v>
      </c>
      <c r="M141" s="58">
        <f t="shared" si="39"/>
        <v>2.5378538722008339</v>
      </c>
      <c r="N141" s="58">
        <f t="shared" si="39"/>
        <v>2.8207317306388302</v>
      </c>
      <c r="O141" s="58">
        <f t="shared" si="39"/>
        <v>3.1036095890768252</v>
      </c>
      <c r="P141" s="58">
        <f t="shared" si="39"/>
        <v>3.3864874475148219</v>
      </c>
      <c r="Q141" s="58">
        <f t="shared" si="39"/>
        <v>3.6693653059528173</v>
      </c>
      <c r="R141" s="58">
        <f t="shared" si="39"/>
        <v>3.9522431643908127</v>
      </c>
      <c r="T141" s="12">
        <f>'curve_rzeta_targetnu_add_2.5'!N223</f>
        <v>0.80386552709665182</v>
      </c>
      <c r="U141" s="115">
        <f>T141-T140</f>
        <v>-0.32887677455124387</v>
      </c>
      <c r="W141" s="154">
        <f t="shared" si="38"/>
        <v>0.78928571428571437</v>
      </c>
      <c r="X141" s="150">
        <v>0.85</v>
      </c>
      <c r="Y141" s="170">
        <f t="shared" ref="Y141:Y145" si="40">T141/W141</f>
        <v>1.0184721610274321</v>
      </c>
    </row>
    <row r="142" spans="1:25" x14ac:dyDescent="0.25">
      <c r="B142" s="104"/>
      <c r="C142" s="105"/>
      <c r="D142" s="116"/>
      <c r="H142" s="4">
        <v>3</v>
      </c>
      <c r="J142" s="67">
        <f t="shared" si="39"/>
        <v>3.2766169445110034</v>
      </c>
      <c r="K142" s="67">
        <f t="shared" si="39"/>
        <v>3.6080854197704051</v>
      </c>
      <c r="L142" s="67">
        <f t="shared" si="39"/>
        <v>3.9395538950298077</v>
      </c>
      <c r="M142" s="67">
        <f t="shared" si="39"/>
        <v>4.2710223702892094</v>
      </c>
      <c r="N142" s="67">
        <f t="shared" si="39"/>
        <v>4.6024908455486111</v>
      </c>
      <c r="O142" s="67">
        <f t="shared" si="39"/>
        <v>4.9339593208080128</v>
      </c>
      <c r="P142" s="67">
        <f t="shared" si="39"/>
        <v>5.2654277960674145</v>
      </c>
      <c r="Q142" s="67">
        <f t="shared" si="39"/>
        <v>5.5968962713268171</v>
      </c>
      <c r="R142" s="67">
        <f t="shared" si="39"/>
        <v>5.9283647465862188</v>
      </c>
      <c r="S142" s="156"/>
      <c r="T142" s="14">
        <f>'curve_rzeta_targetnu_add_2.5'!N224</f>
        <v>0.70723962775449734</v>
      </c>
      <c r="U142" s="169">
        <f t="shared" ref="U142:U148" si="41">T142-T141</f>
        <v>-9.6625899342154487E-2</v>
      </c>
      <c r="V142" s="156"/>
      <c r="W142" s="157">
        <f t="shared" si="38"/>
        <v>0.69642857142857151</v>
      </c>
      <c r="X142" s="158">
        <v>0.75</v>
      </c>
      <c r="Y142" s="170">
        <f t="shared" si="40"/>
        <v>1.0155235680577397</v>
      </c>
    </row>
    <row r="143" spans="1:25" x14ac:dyDescent="0.25">
      <c r="B143" s="106"/>
      <c r="C143" s="112"/>
      <c r="D143" s="117"/>
      <c r="H143" s="4">
        <v>4</v>
      </c>
      <c r="J143" s="58">
        <f t="shared" si="39"/>
        <v>4.8640135921351586</v>
      </c>
      <c r="K143" s="58">
        <f t="shared" si="39"/>
        <v>5.2440726842159675</v>
      </c>
      <c r="L143" s="58">
        <f t="shared" si="39"/>
        <v>5.6241317762967755</v>
      </c>
      <c r="M143" s="58">
        <f t="shared" si="39"/>
        <v>6.0041908683775835</v>
      </c>
      <c r="N143" s="58">
        <f t="shared" si="39"/>
        <v>6.3842499604583915</v>
      </c>
      <c r="O143" s="58">
        <f t="shared" si="39"/>
        <v>6.7643090525391996</v>
      </c>
      <c r="P143" s="58">
        <f t="shared" si="39"/>
        <v>7.1443681446200067</v>
      </c>
      <c r="Q143" s="58">
        <f t="shared" si="39"/>
        <v>7.5244272367008165</v>
      </c>
      <c r="R143" s="58">
        <f t="shared" si="39"/>
        <v>7.9044863287816254</v>
      </c>
      <c r="T143" s="12">
        <f>'curve_rzeta_targetnu_add_2.5'!N225</f>
        <v>0.65892667808342031</v>
      </c>
      <c r="U143" s="115">
        <f t="shared" si="41"/>
        <v>-4.8312949671077021E-2</v>
      </c>
      <c r="W143" s="154">
        <f t="shared" si="38"/>
        <v>0.66857142857142859</v>
      </c>
      <c r="X143" s="150">
        <v>0.72</v>
      </c>
      <c r="Y143" s="170">
        <f t="shared" si="40"/>
        <v>0.98557409115041494</v>
      </c>
    </row>
    <row r="144" spans="1:25" x14ac:dyDescent="0.25">
      <c r="B144" s="101"/>
      <c r="C144" s="102"/>
      <c r="D144" s="102"/>
      <c r="E144" s="103"/>
      <c r="H144" s="4">
        <v>5</v>
      </c>
      <c r="J144" s="58">
        <f t="shared" si="39"/>
        <v>6.5752079896227702</v>
      </c>
      <c r="K144" s="58">
        <f t="shared" si="39"/>
        <v>6.9883829797920516</v>
      </c>
      <c r="L144" s="58">
        <f t="shared" si="39"/>
        <v>7.4015579699613356</v>
      </c>
      <c r="M144" s="58">
        <f t="shared" si="39"/>
        <v>7.814732960130617</v>
      </c>
      <c r="N144" s="58">
        <f t="shared" si="39"/>
        <v>8.2279079502999011</v>
      </c>
      <c r="O144" s="58">
        <f t="shared" si="39"/>
        <v>8.6410829404691807</v>
      </c>
      <c r="P144" s="58">
        <f t="shared" si="39"/>
        <v>9.0542579306384656</v>
      </c>
      <c r="Q144" s="58">
        <f t="shared" si="39"/>
        <v>9.4674329208077488</v>
      </c>
      <c r="R144" s="58">
        <f t="shared" si="39"/>
        <v>9.8806079109770319</v>
      </c>
      <c r="T144" s="12">
        <f>'curve_rzeta_targetnu_add_2.5'!N226</f>
        <v>0.64153863360609331</v>
      </c>
      <c r="U144" s="115">
        <f t="shared" si="41"/>
        <v>-1.7388044477327003E-2</v>
      </c>
      <c r="W144" s="154">
        <f t="shared" si="38"/>
        <v>0.65928571428571436</v>
      </c>
      <c r="X144" s="150">
        <v>0.71</v>
      </c>
      <c r="Y144" s="170">
        <f t="shared" si="40"/>
        <v>0.97308135108183158</v>
      </c>
    </row>
    <row r="145" spans="1:25" x14ac:dyDescent="0.25">
      <c r="B145" s="108"/>
      <c r="C145" s="109"/>
      <c r="D145" s="22"/>
      <c r="E145" s="23"/>
      <c r="H145" s="4">
        <v>10</v>
      </c>
      <c r="J145" s="67">
        <f t="shared" si="39"/>
        <v>16.369157475695374</v>
      </c>
      <c r="K145" s="67">
        <f t="shared" si="39"/>
        <v>16.793164768977711</v>
      </c>
      <c r="L145" s="67">
        <f t="shared" si="39"/>
        <v>17.217172062260047</v>
      </c>
      <c r="M145" s="67">
        <f t="shared" si="39"/>
        <v>17.641179355542384</v>
      </c>
      <c r="N145" s="67">
        <f t="shared" si="39"/>
        <v>18.065186648824717</v>
      </c>
      <c r="O145" s="67">
        <f t="shared" si="39"/>
        <v>18.489193942107054</v>
      </c>
      <c r="P145" s="67">
        <f t="shared" si="39"/>
        <v>18.913201235389391</v>
      </c>
      <c r="Q145" s="67">
        <f t="shared" si="39"/>
        <v>19.337208528671724</v>
      </c>
      <c r="R145" s="67">
        <f t="shared" si="39"/>
        <v>19.761215821954064</v>
      </c>
      <c r="S145" s="156"/>
      <c r="T145" s="14">
        <f>'curve_rzeta_targetnu_add_2.5'!N227</f>
        <v>0.60976247361488434</v>
      </c>
      <c r="U145" s="115">
        <f t="shared" si="41"/>
        <v>-3.1776159991208974E-2</v>
      </c>
      <c r="V145" s="156"/>
      <c r="W145" s="157">
        <f t="shared" si="38"/>
        <v>0.65</v>
      </c>
      <c r="X145" s="158">
        <v>0.7</v>
      </c>
      <c r="Y145" s="170">
        <f t="shared" si="40"/>
        <v>0.93809611325366815</v>
      </c>
    </row>
    <row r="146" spans="1:25" x14ac:dyDescent="0.25">
      <c r="B146" s="110"/>
      <c r="C146" s="111"/>
      <c r="E146" s="25"/>
      <c r="H146" s="4">
        <v>20</v>
      </c>
      <c r="J146" s="58">
        <f t="shared" si="39"/>
        <v>36.66022766706503</v>
      </c>
      <c r="K146" s="58">
        <f t="shared" si="39"/>
        <v>37.018003164170409</v>
      </c>
      <c r="L146" s="58">
        <f t="shared" si="39"/>
        <v>37.375778661275803</v>
      </c>
      <c r="M146" s="58">
        <f t="shared" si="39"/>
        <v>37.733554158381182</v>
      </c>
      <c r="N146" s="58">
        <f t="shared" si="39"/>
        <v>38.091329655486575</v>
      </c>
      <c r="O146" s="58">
        <f t="shared" si="39"/>
        <v>38.449105152591969</v>
      </c>
      <c r="P146" s="58">
        <f t="shared" si="39"/>
        <v>38.806880649697348</v>
      </c>
      <c r="Q146" s="58">
        <f t="shared" si="39"/>
        <v>39.164656146802741</v>
      </c>
      <c r="R146" s="58">
        <f t="shared" si="39"/>
        <v>39.522431643908128</v>
      </c>
      <c r="T146" s="12">
        <f>'curve_rzeta_targetnu_add_2.5'!N228</f>
        <v>0.60037423970674353</v>
      </c>
      <c r="U146" s="115">
        <f t="shared" si="41"/>
        <v>-9.3882339081408084E-3</v>
      </c>
      <c r="W146" s="154">
        <f t="shared" si="38"/>
        <v>0.65</v>
      </c>
      <c r="X146" s="150">
        <v>0.7</v>
      </c>
    </row>
    <row r="147" spans="1:25" x14ac:dyDescent="0.25">
      <c r="B147" s="113"/>
      <c r="C147" s="27"/>
      <c r="D147" s="118"/>
      <c r="E147" s="29"/>
      <c r="H147" s="4">
        <v>30</v>
      </c>
      <c r="J147" s="58">
        <f t="shared" si="39"/>
        <v>56.995865048385511</v>
      </c>
      <c r="K147" s="58">
        <f t="shared" si="39"/>
        <v>57.281837850570085</v>
      </c>
      <c r="L147" s="58">
        <f t="shared" si="39"/>
        <v>57.567810652754673</v>
      </c>
      <c r="M147" s="58">
        <f t="shared" si="39"/>
        <v>57.853783454939254</v>
      </c>
      <c r="N147" s="58">
        <f t="shared" si="39"/>
        <v>58.139756257123842</v>
      </c>
      <c r="O147" s="58">
        <f t="shared" si="39"/>
        <v>58.425729059308416</v>
      </c>
      <c r="P147" s="58">
        <f t="shared" si="39"/>
        <v>58.711701861493005</v>
      </c>
      <c r="Q147" s="58">
        <f t="shared" si="39"/>
        <v>58.997674663677593</v>
      </c>
      <c r="R147" s="58">
        <f t="shared" si="39"/>
        <v>59.283647465862188</v>
      </c>
      <c r="T147" s="12">
        <f>'curve_rzeta_targetnu_add_2.5'!N229</f>
        <v>0.59991143192709162</v>
      </c>
      <c r="U147" s="115">
        <f t="shared" si="41"/>
        <v>-4.6280777965190811E-4</v>
      </c>
      <c r="W147" s="154">
        <f t="shared" si="38"/>
        <v>0.65</v>
      </c>
      <c r="X147" s="150">
        <v>0.7</v>
      </c>
    </row>
    <row r="148" spans="1:25" x14ac:dyDescent="0.25">
      <c r="H148" s="4">
        <v>40</v>
      </c>
      <c r="J148" s="58">
        <f t="shared" si="39"/>
        <v>77.321598609716915</v>
      </c>
      <c r="K148" s="58">
        <f t="shared" si="39"/>
        <v>77.537006694479317</v>
      </c>
      <c r="L148" s="58">
        <f t="shared" si="39"/>
        <v>77.752414779241732</v>
      </c>
      <c r="M148" s="58">
        <f t="shared" si="39"/>
        <v>77.967822864004162</v>
      </c>
      <c r="N148" s="58">
        <f t="shared" si="39"/>
        <v>78.183230948766578</v>
      </c>
      <c r="O148" s="58">
        <f t="shared" si="39"/>
        <v>78.398639033529008</v>
      </c>
      <c r="P148" s="58">
        <f t="shared" si="39"/>
        <v>78.61404711829141</v>
      </c>
      <c r="Q148" s="58">
        <f t="shared" si="39"/>
        <v>78.829455203053826</v>
      </c>
      <c r="R148" s="58">
        <f t="shared" si="39"/>
        <v>79.044863287816256</v>
      </c>
      <c r="T148" s="12">
        <f>'curve_rzeta_targetnu_add_2.5'!N230</f>
        <v>0.60018001619784</v>
      </c>
      <c r="U148" s="115">
        <f t="shared" si="41"/>
        <v>2.6858427074838431E-4</v>
      </c>
      <c r="W148" s="154">
        <f t="shared" si="38"/>
        <v>0.65</v>
      </c>
      <c r="X148" s="150">
        <v>0.7</v>
      </c>
    </row>
    <row r="149" spans="1:25" x14ac:dyDescent="0.25">
      <c r="B149" s="99"/>
      <c r="C149" s="100"/>
      <c r="H149" s="4">
        <v>50</v>
      </c>
      <c r="J149" s="58">
        <f t="shared" si="39"/>
        <v>97.667139811026487</v>
      </c>
      <c r="K149" s="58">
        <f t="shared" si="39"/>
        <v>97.809507223369465</v>
      </c>
      <c r="L149" s="58">
        <f t="shared" si="39"/>
        <v>97.951874635712429</v>
      </c>
      <c r="M149" s="58">
        <f t="shared" si="39"/>
        <v>98.09424204805542</v>
      </c>
      <c r="N149" s="58">
        <f t="shared" si="39"/>
        <v>98.236609460398398</v>
      </c>
      <c r="O149" s="58">
        <f t="shared" si="39"/>
        <v>98.378976872741362</v>
      </c>
      <c r="P149" s="58">
        <f t="shared" si="39"/>
        <v>98.521344285084339</v>
      </c>
      <c r="Q149" s="58">
        <f t="shared" si="39"/>
        <v>98.663711697427331</v>
      </c>
      <c r="R149" s="58">
        <f t="shared" si="39"/>
        <v>98.806079109770323</v>
      </c>
      <c r="T149" s="12">
        <f>'curve_rzeta_targetnu_add_2.5'!N231</f>
        <v>0.60014117149605906</v>
      </c>
      <c r="W149" s="154">
        <f t="shared" si="38"/>
        <v>0.65</v>
      </c>
      <c r="X149" s="150">
        <v>0.7</v>
      </c>
    </row>
    <row r="150" spans="1:25" x14ac:dyDescent="0.25">
      <c r="B150" s="106"/>
      <c r="C150" s="107"/>
      <c r="H150" s="4">
        <v>60</v>
      </c>
      <c r="J150" s="58">
        <f t="shared" si="39"/>
        <v>118.00277719234697</v>
      </c>
      <c r="K150" s="58">
        <f t="shared" si="39"/>
        <v>118.07334190976916</v>
      </c>
      <c r="L150" s="58">
        <f t="shared" si="39"/>
        <v>118.14390662719131</v>
      </c>
      <c r="M150" s="58">
        <f t="shared" si="39"/>
        <v>118.21447134461351</v>
      </c>
      <c r="N150" s="58">
        <f t="shared" si="39"/>
        <v>118.28503606203567</v>
      </c>
      <c r="O150" s="58">
        <f t="shared" si="39"/>
        <v>118.35560077945783</v>
      </c>
      <c r="P150" s="58">
        <f t="shared" si="39"/>
        <v>118.42616549688002</v>
      </c>
      <c r="Q150" s="58">
        <f t="shared" si="39"/>
        <v>118.4967302143022</v>
      </c>
      <c r="R150" s="58">
        <f t="shared" si="39"/>
        <v>118.56729493172438</v>
      </c>
      <c r="T150" s="12">
        <f>'curve_rzeta_targetnu_add_2.5'!N232</f>
        <v>0.60044860046858817</v>
      </c>
      <c r="W150" s="154">
        <f t="shared" si="38"/>
        <v>0.65</v>
      </c>
      <c r="X150" s="150">
        <v>0.7</v>
      </c>
    </row>
    <row r="151" spans="1:25" x14ac:dyDescent="0.25">
      <c r="H151" s="4">
        <v>70</v>
      </c>
      <c r="J151" s="67">
        <f t="shared" si="39"/>
        <v>138.32851075367836</v>
      </c>
      <c r="K151" s="67">
        <f t="shared" si="39"/>
        <v>138.32851075367839</v>
      </c>
      <c r="L151" s="67">
        <f t="shared" si="39"/>
        <v>138.32851075367839</v>
      </c>
      <c r="M151" s="67">
        <f t="shared" si="39"/>
        <v>138.32851075367839</v>
      </c>
      <c r="N151" s="67">
        <f t="shared" si="39"/>
        <v>138.32851075367842</v>
      </c>
      <c r="O151" s="67">
        <f t="shared" si="39"/>
        <v>138.32851075367842</v>
      </c>
      <c r="P151" s="67">
        <f t="shared" si="39"/>
        <v>138.32851075367844</v>
      </c>
      <c r="Q151" s="67">
        <f t="shared" si="39"/>
        <v>138.32851075367844</v>
      </c>
      <c r="R151" s="67">
        <f t="shared" si="39"/>
        <v>138.32851075367844</v>
      </c>
      <c r="T151" s="12">
        <f>'curve_rzeta_targetnu_add_2.5'!N233</f>
        <v>0.59972535777474034</v>
      </c>
      <c r="W151" s="155">
        <f t="shared" si="38"/>
        <v>0.65</v>
      </c>
      <c r="X151" s="151">
        <v>0.7</v>
      </c>
    </row>
    <row r="152" spans="1:25" x14ac:dyDescent="0.25">
      <c r="M152" s="114"/>
    </row>
    <row r="153" spans="1:25" x14ac:dyDescent="0.25">
      <c r="M153" s="114"/>
    </row>
    <row r="154" spans="1:25" ht="15.75" thickBot="1" x14ac:dyDescent="0.3">
      <c r="A154" s="141"/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2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</row>
    <row r="155" spans="1:25" ht="15.75" thickTop="1" x14ac:dyDescent="0.25">
      <c r="M155" s="114"/>
    </row>
    <row r="156" spans="1:25" x14ac:dyDescent="0.25">
      <c r="M156" s="114"/>
    </row>
    <row r="157" spans="1:25" x14ac:dyDescent="0.25">
      <c r="A157" t="s">
        <v>73</v>
      </c>
      <c r="B157" t="s">
        <v>74</v>
      </c>
    </row>
    <row r="158" spans="1:25" ht="18.75" x14ac:dyDescent="0.3">
      <c r="B158" s="20" t="s">
        <v>108</v>
      </c>
      <c r="M158" s="143" t="s">
        <v>122</v>
      </c>
    </row>
    <row r="159" spans="1:25" ht="18.75" x14ac:dyDescent="0.3">
      <c r="A159" s="83"/>
      <c r="B159" s="20"/>
      <c r="M159" s="143" t="s">
        <v>128</v>
      </c>
    </row>
    <row r="160" spans="1:25" x14ac:dyDescent="0.25">
      <c r="A160" s="83"/>
      <c r="B160" s="135">
        <v>0.1363</v>
      </c>
      <c r="D160">
        <v>0.11924999999999999</v>
      </c>
    </row>
    <row r="161" spans="1:24" x14ac:dyDescent="0.25">
      <c r="A161" s="83"/>
      <c r="B161" s="85">
        <v>1</v>
      </c>
    </row>
    <row r="162" spans="1:24" x14ac:dyDescent="0.25">
      <c r="A162" s="83">
        <v>1</v>
      </c>
      <c r="B162" s="86">
        <f>B161+B$160</f>
        <v>1.1363000000000001</v>
      </c>
      <c r="H162" s="7"/>
      <c r="L162" s="21"/>
      <c r="M162" s="31" t="s">
        <v>38</v>
      </c>
      <c r="N162" s="32">
        <f>B162</f>
        <v>1.1363000000000001</v>
      </c>
      <c r="O162" s="32">
        <f>B163</f>
        <v>1.2726000000000002</v>
      </c>
      <c r="P162" s="32">
        <f>B164</f>
        <v>1.4089000000000003</v>
      </c>
      <c r="Q162" s="32">
        <f>B165</f>
        <v>1.5452000000000004</v>
      </c>
      <c r="R162" s="32">
        <f>B166</f>
        <v>1.6815000000000004</v>
      </c>
      <c r="S162" s="33"/>
    </row>
    <row r="163" spans="1:24" x14ac:dyDescent="0.25">
      <c r="A163" s="83">
        <v>2</v>
      </c>
      <c r="B163" s="86">
        <f t="shared" ref="B163:B167" si="42">B162+B$160</f>
        <v>1.2726000000000002</v>
      </c>
      <c r="L163" s="34"/>
      <c r="M163" s="35">
        <v>1</v>
      </c>
      <c r="N163" s="35">
        <v>2</v>
      </c>
      <c r="O163" s="35">
        <v>3</v>
      </c>
      <c r="P163" s="35">
        <v>4</v>
      </c>
      <c r="Q163" s="35">
        <v>5</v>
      </c>
      <c r="R163" s="35">
        <v>6</v>
      </c>
      <c r="S163" s="36"/>
    </row>
    <row r="164" spans="1:24" x14ac:dyDescent="0.25">
      <c r="A164" s="83">
        <v>3</v>
      </c>
      <c r="B164" s="86">
        <f t="shared" si="42"/>
        <v>1.4089000000000003</v>
      </c>
      <c r="K164" s="2" t="s">
        <v>76</v>
      </c>
      <c r="L164" s="24"/>
      <c r="M164" s="124">
        <v>0.35</v>
      </c>
      <c r="N164" s="11">
        <f>$M164*N162</f>
        <v>0.39770500000000003</v>
      </c>
      <c r="O164" s="11">
        <f>$M164*O162</f>
        <v>0.44541000000000003</v>
      </c>
      <c r="P164" s="11">
        <f>$M164*P162</f>
        <v>0.49311500000000008</v>
      </c>
      <c r="Q164" s="11">
        <f>$M164*Q162</f>
        <v>0.54082000000000008</v>
      </c>
      <c r="R164" s="130">
        <f>$M164*R162</f>
        <v>0.58852500000000008</v>
      </c>
      <c r="S164" s="36" t="s">
        <v>39</v>
      </c>
      <c r="T164" s="140">
        <f>R164/M185</f>
        <v>1.0000424808836024</v>
      </c>
      <c r="U164" s="171">
        <f>B160/T164</f>
        <v>0.13629421010152501</v>
      </c>
    </row>
    <row r="165" spans="1:24" x14ac:dyDescent="0.25">
      <c r="A165" s="83">
        <v>4</v>
      </c>
      <c r="B165" s="86">
        <f t="shared" si="42"/>
        <v>1.5452000000000004</v>
      </c>
      <c r="L165" s="26"/>
      <c r="M165" s="38">
        <f t="shared" ref="M165:R165" si="43">M164</f>
        <v>0.35</v>
      </c>
      <c r="N165" s="38">
        <f t="shared" si="43"/>
        <v>0.39770500000000003</v>
      </c>
      <c r="O165" s="38">
        <f t="shared" si="43"/>
        <v>0.44541000000000003</v>
      </c>
      <c r="P165" s="38">
        <f t="shared" si="43"/>
        <v>0.49311500000000008</v>
      </c>
      <c r="Q165" s="38">
        <f t="shared" si="43"/>
        <v>0.54082000000000008</v>
      </c>
      <c r="R165" s="38">
        <f t="shared" si="43"/>
        <v>0.58852500000000008</v>
      </c>
      <c r="S165" s="39" t="s">
        <v>42</v>
      </c>
    </row>
    <row r="166" spans="1:24" x14ac:dyDescent="0.25">
      <c r="A166" s="83">
        <v>5</v>
      </c>
      <c r="B166" s="86">
        <f t="shared" si="42"/>
        <v>1.6815000000000004</v>
      </c>
    </row>
    <row r="167" spans="1:24" x14ac:dyDescent="0.25">
      <c r="A167" s="83">
        <v>6</v>
      </c>
      <c r="B167" s="86">
        <f t="shared" si="42"/>
        <v>1.8178000000000005</v>
      </c>
      <c r="D167" t="s">
        <v>72</v>
      </c>
      <c r="K167" s="18"/>
      <c r="L167" s="18"/>
    </row>
    <row r="168" spans="1:24" x14ac:dyDescent="0.25">
      <c r="A168" s="83"/>
      <c r="B168" s="86"/>
      <c r="F168" s="40" t="s">
        <v>101</v>
      </c>
      <c r="G168" s="22"/>
      <c r="H168" s="22"/>
      <c r="I168" s="22"/>
      <c r="J168" s="22"/>
      <c r="K168" s="22"/>
      <c r="L168" s="179" t="s">
        <v>119</v>
      </c>
      <c r="M168" s="167"/>
      <c r="N168" s="22"/>
      <c r="O168" s="180" t="s">
        <v>120</v>
      </c>
      <c r="P168" s="22"/>
      <c r="Q168" s="55" t="s">
        <v>45</v>
      </c>
      <c r="R168" s="23"/>
    </row>
    <row r="169" spans="1:24" x14ac:dyDescent="0.25">
      <c r="A169" s="83"/>
      <c r="B169" s="20"/>
      <c r="F169" s="24"/>
      <c r="L169" s="182" t="s">
        <v>121</v>
      </c>
      <c r="O169" s="25"/>
      <c r="R169" s="25"/>
    </row>
    <row r="170" spans="1:24" x14ac:dyDescent="0.25">
      <c r="A170" s="83"/>
      <c r="F170" s="41"/>
      <c r="G170" s="42"/>
      <c r="H170" s="42"/>
      <c r="I170" s="42"/>
      <c r="J170" s="42"/>
      <c r="K170" s="42"/>
      <c r="L170" s="172" t="s">
        <v>114</v>
      </c>
      <c r="M170" s="42" t="s">
        <v>117</v>
      </c>
      <c r="N170" s="42" t="s">
        <v>115</v>
      </c>
      <c r="O170" s="173" t="s">
        <v>116</v>
      </c>
      <c r="P170" s="42"/>
      <c r="Q170" s="42"/>
      <c r="R170" s="43"/>
    </row>
    <row r="171" spans="1:24" x14ac:dyDescent="0.25">
      <c r="A171" s="83"/>
      <c r="C171" s="73" t="s">
        <v>34</v>
      </c>
      <c r="F171" s="44"/>
      <c r="G171" s="4">
        <v>-5</v>
      </c>
      <c r="H171" s="4">
        <v>-4</v>
      </c>
      <c r="I171" s="4">
        <v>-3</v>
      </c>
      <c r="J171" s="4">
        <v>-2</v>
      </c>
      <c r="K171" s="4">
        <v>-1</v>
      </c>
      <c r="L171" s="44">
        <v>0</v>
      </c>
      <c r="M171" s="4">
        <v>1</v>
      </c>
      <c r="N171" s="4">
        <v>2</v>
      </c>
      <c r="O171" s="45">
        <v>3</v>
      </c>
      <c r="P171" s="4">
        <v>4</v>
      </c>
      <c r="Q171" s="4">
        <v>5</v>
      </c>
      <c r="R171" s="45">
        <v>6</v>
      </c>
      <c r="T171" s="4">
        <v>1</v>
      </c>
      <c r="U171" s="4">
        <v>6</v>
      </c>
    </row>
    <row r="172" spans="1:24" x14ac:dyDescent="0.25">
      <c r="A172" s="83"/>
      <c r="B172" s="4"/>
      <c r="C172" s="4" t="s">
        <v>10</v>
      </c>
      <c r="D172" s="87" t="s">
        <v>37</v>
      </c>
      <c r="E172" s="73"/>
      <c r="F172" s="24"/>
      <c r="L172" s="24"/>
      <c r="N172" s="46" t="s">
        <v>43</v>
      </c>
      <c r="O172" s="25"/>
      <c r="R172" s="25"/>
    </row>
    <row r="173" spans="1:24" x14ac:dyDescent="0.25">
      <c r="A173" s="83"/>
      <c r="B173" s="4" t="s">
        <v>9</v>
      </c>
      <c r="C173" s="88" t="s">
        <v>36</v>
      </c>
      <c r="D173" s="89">
        <v>-0.02</v>
      </c>
      <c r="E173" s="74"/>
      <c r="F173" s="24"/>
      <c r="G173" s="47"/>
      <c r="H173" s="47"/>
      <c r="I173" s="47"/>
      <c r="J173" s="47"/>
      <c r="K173" s="47"/>
      <c r="L173" s="162"/>
      <c r="M173" s="144">
        <f>M164</f>
        <v>0.35</v>
      </c>
      <c r="N173" s="144">
        <f>N164</f>
        <v>0.39770500000000003</v>
      </c>
      <c r="O173" s="145">
        <f t="shared" ref="O173:R173" si="44">O164</f>
        <v>0.44541000000000003</v>
      </c>
      <c r="P173" s="144">
        <f t="shared" si="44"/>
        <v>0.49311500000000008</v>
      </c>
      <c r="Q173" s="144">
        <f t="shared" si="44"/>
        <v>0.54082000000000008</v>
      </c>
      <c r="R173" s="145">
        <f t="shared" si="44"/>
        <v>0.58852500000000008</v>
      </c>
    </row>
    <row r="174" spans="1:24" x14ac:dyDescent="0.25">
      <c r="A174" s="83"/>
      <c r="B174" s="4">
        <v>1</v>
      </c>
      <c r="C174" s="6">
        <v>0.78</v>
      </c>
      <c r="D174" s="6">
        <f>C174+$D$68</f>
        <v>0.76</v>
      </c>
      <c r="E174" s="136">
        <v>0.28000000000000003</v>
      </c>
      <c r="F174" s="49">
        <f t="shared" ref="F174:F184" si="45">M174/M175</f>
        <v>0.85365853658536583</v>
      </c>
      <c r="G174" s="13">
        <f>($W174*G$33)+$X174</f>
        <v>6.3769999999999966E-2</v>
      </c>
      <c r="H174" s="13">
        <f t="shared" ref="H174:K174" si="46">($W174*H$33)+$X174</f>
        <v>0.11147499999999996</v>
      </c>
      <c r="I174" s="13">
        <f t="shared" si="46"/>
        <v>0.15917999999999996</v>
      </c>
      <c r="J174" s="13">
        <f t="shared" si="46"/>
        <v>0.20688499999999999</v>
      </c>
      <c r="K174" s="13">
        <f t="shared" si="46"/>
        <v>0.25458999999999998</v>
      </c>
      <c r="L174" s="163">
        <f>($W174*L$33)+$X174</f>
        <v>0.30229499999999998</v>
      </c>
      <c r="M174" s="136">
        <v>0.35</v>
      </c>
      <c r="N174" s="13">
        <f>($W174*N$33)+$X174</f>
        <v>0.39770499999999998</v>
      </c>
      <c r="O174" s="76">
        <f t="shared" ref="O174:Q185" si="47">($W174*O$33)+$X174</f>
        <v>0.44540999999999997</v>
      </c>
      <c r="P174" s="13">
        <f t="shared" si="47"/>
        <v>0.49311499999999997</v>
      </c>
      <c r="Q174" s="13">
        <f t="shared" si="47"/>
        <v>0.54081999999999997</v>
      </c>
      <c r="R174" s="131">
        <f>$R$164</f>
        <v>0.58852500000000008</v>
      </c>
      <c r="S174" s="130">
        <f t="shared" ref="S174:S184" si="48">M174/(T193/0.6)</f>
        <v>0.18539079867900696</v>
      </c>
      <c r="T174" s="1">
        <f>M174</f>
        <v>0.35</v>
      </c>
      <c r="U174" s="1">
        <f t="shared" ref="U174:U184" si="49">R174</f>
        <v>0.58852500000000008</v>
      </c>
      <c r="V174" s="90" t="s">
        <v>44</v>
      </c>
      <c r="W174" s="91">
        <f>INDEX(LINEST(T174:U174,(T$33:U$33)^{1}),1)</f>
        <v>4.7705000000000004E-2</v>
      </c>
      <c r="X174" s="91">
        <f>INDEX(LINEST(T174:U174,(T$33:U$33)^{1}),1,2)</f>
        <v>0.30229499999999998</v>
      </c>
    </row>
    <row r="175" spans="1:24" x14ac:dyDescent="0.25">
      <c r="A175" s="83"/>
      <c r="B175" s="4">
        <v>2</v>
      </c>
      <c r="C175" s="1">
        <v>0.56999999999999995</v>
      </c>
      <c r="D175" s="1">
        <f t="shared" ref="D175:D185" si="50">C175+$D$68</f>
        <v>0.54999999999999993</v>
      </c>
      <c r="E175" s="137">
        <v>0.36299999999999999</v>
      </c>
      <c r="F175" s="49">
        <f t="shared" si="45"/>
        <v>0.92134831460674149</v>
      </c>
      <c r="G175" s="12">
        <f t="shared" ref="G175:N185" si="51">($W175*G$33)+$X175</f>
        <v>0.19577</v>
      </c>
      <c r="H175" s="12">
        <f t="shared" si="51"/>
        <v>0.23147500000000001</v>
      </c>
      <c r="I175" s="12">
        <f t="shared" si="51"/>
        <v>0.26718000000000003</v>
      </c>
      <c r="J175" s="12">
        <f t="shared" si="51"/>
        <v>0.30288500000000002</v>
      </c>
      <c r="K175" s="12">
        <f t="shared" si="51"/>
        <v>0.33859000000000006</v>
      </c>
      <c r="L175" s="164">
        <f t="shared" si="51"/>
        <v>0.37429500000000004</v>
      </c>
      <c r="M175" s="137">
        <v>0.41</v>
      </c>
      <c r="N175" s="12">
        <f t="shared" si="51"/>
        <v>0.44570500000000007</v>
      </c>
      <c r="O175" s="127">
        <f t="shared" si="47"/>
        <v>0.48141000000000006</v>
      </c>
      <c r="P175" s="12">
        <f t="shared" si="47"/>
        <v>0.5171150000000001</v>
      </c>
      <c r="Q175" s="12">
        <f t="shared" si="47"/>
        <v>0.55282000000000009</v>
      </c>
      <c r="R175" s="132">
        <f t="shared" ref="R175:R184" si="52">$R$164</f>
        <v>0.58852500000000008</v>
      </c>
      <c r="S175" s="130">
        <f t="shared" si="48"/>
        <v>0.30602133280734956</v>
      </c>
      <c r="T175" s="1">
        <f t="shared" ref="T175:T184" si="53">M175</f>
        <v>0.41</v>
      </c>
      <c r="U175" s="1">
        <f t="shared" si="49"/>
        <v>0.58852500000000008</v>
      </c>
      <c r="V175" s="90" t="s">
        <v>44</v>
      </c>
      <c r="W175" s="91">
        <f>INDEX(LINEST(T175:U175,(T$33:U$33)^{1}),1)</f>
        <v>3.5705000000000008E-2</v>
      </c>
      <c r="X175" s="91">
        <f>INDEX(LINEST(T175:U175,(T$33:U$33)^{1}),1,2)</f>
        <v>0.37429500000000004</v>
      </c>
    </row>
    <row r="176" spans="1:24" x14ac:dyDescent="0.25">
      <c r="A176" s="83"/>
      <c r="B176" s="4">
        <v>3</v>
      </c>
      <c r="C176" s="5">
        <v>0.54</v>
      </c>
      <c r="D176" s="5">
        <f t="shared" si="50"/>
        <v>0.52</v>
      </c>
      <c r="E176" s="138">
        <v>0.4</v>
      </c>
      <c r="F176" s="49">
        <f t="shared" si="45"/>
        <v>0.95698924731182788</v>
      </c>
      <c r="G176" s="14">
        <f t="shared" si="51"/>
        <v>0.27276999999999996</v>
      </c>
      <c r="H176" s="14">
        <f t="shared" si="51"/>
        <v>0.30147499999999994</v>
      </c>
      <c r="I176" s="14">
        <f t="shared" si="51"/>
        <v>0.33017999999999992</v>
      </c>
      <c r="J176" s="14">
        <f t="shared" si="51"/>
        <v>0.35888499999999995</v>
      </c>
      <c r="K176" s="14">
        <f t="shared" si="51"/>
        <v>0.38758999999999999</v>
      </c>
      <c r="L176" s="165">
        <f t="shared" si="51"/>
        <v>0.41629499999999997</v>
      </c>
      <c r="M176" s="138">
        <v>0.44500000000000001</v>
      </c>
      <c r="N176" s="14">
        <f t="shared" si="51"/>
        <v>0.47370499999999999</v>
      </c>
      <c r="O176" s="128">
        <f t="shared" si="47"/>
        <v>0.50241000000000002</v>
      </c>
      <c r="P176" s="14">
        <f t="shared" si="47"/>
        <v>0.531115</v>
      </c>
      <c r="Q176" s="14">
        <f t="shared" si="47"/>
        <v>0.55981999999999998</v>
      </c>
      <c r="R176" s="133">
        <f t="shared" si="52"/>
        <v>0.58852500000000008</v>
      </c>
      <c r="S176" s="130">
        <f t="shared" si="48"/>
        <v>0.37752409441158064</v>
      </c>
      <c r="T176" s="1">
        <f t="shared" si="53"/>
        <v>0.44500000000000001</v>
      </c>
      <c r="U176" s="1">
        <f t="shared" si="49"/>
        <v>0.58852500000000008</v>
      </c>
      <c r="V176" s="90" t="s">
        <v>44</v>
      </c>
      <c r="W176" s="91">
        <f>INDEX(LINEST(T176:U176,(T$33:U$33)^{1}),1)</f>
        <v>2.8705000000000008E-2</v>
      </c>
      <c r="X176" s="91">
        <f>INDEX(LINEST(T176:U176,(T$33:U$33)^{1}),1,2)</f>
        <v>0.41629499999999997</v>
      </c>
    </row>
    <row r="177" spans="1:25" x14ac:dyDescent="0.25">
      <c r="A177" s="83"/>
      <c r="B177" s="4">
        <v>4</v>
      </c>
      <c r="C177" s="1">
        <v>0.53</v>
      </c>
      <c r="D177" s="1">
        <f t="shared" si="50"/>
        <v>0.51</v>
      </c>
      <c r="E177" s="137">
        <v>0.42499999999999999</v>
      </c>
      <c r="F177" s="49">
        <f t="shared" si="45"/>
        <v>0.96875000000000011</v>
      </c>
      <c r="G177" s="12">
        <f t="shared" si="51"/>
        <v>0.31676999999999994</v>
      </c>
      <c r="H177" s="12">
        <f t="shared" si="51"/>
        <v>0.34147499999999997</v>
      </c>
      <c r="I177" s="12">
        <f t="shared" si="51"/>
        <v>0.36617999999999995</v>
      </c>
      <c r="J177" s="12">
        <f t="shared" si="51"/>
        <v>0.39088499999999998</v>
      </c>
      <c r="K177" s="12">
        <f t="shared" si="51"/>
        <v>0.41558999999999996</v>
      </c>
      <c r="L177" s="164">
        <f t="shared" si="51"/>
        <v>0.44029499999999999</v>
      </c>
      <c r="M177" s="137">
        <v>0.46500000000000002</v>
      </c>
      <c r="N177" s="12">
        <f t="shared" si="51"/>
        <v>0.489705</v>
      </c>
      <c r="O177" s="127">
        <f t="shared" si="47"/>
        <v>0.51441000000000003</v>
      </c>
      <c r="P177" s="12">
        <f t="shared" si="47"/>
        <v>0.53911500000000001</v>
      </c>
      <c r="Q177" s="12">
        <f t="shared" si="47"/>
        <v>0.56381999999999999</v>
      </c>
      <c r="R177" s="132">
        <f t="shared" si="52"/>
        <v>0.58852500000000008</v>
      </c>
      <c r="S177" s="130">
        <f t="shared" si="48"/>
        <v>0.4234158507764631</v>
      </c>
      <c r="T177" s="1">
        <f t="shared" si="53"/>
        <v>0.46500000000000002</v>
      </c>
      <c r="U177" s="1">
        <f t="shared" si="49"/>
        <v>0.58852500000000008</v>
      </c>
      <c r="V177" s="90" t="s">
        <v>44</v>
      </c>
      <c r="W177" s="91">
        <f>INDEX(LINEST(T177:U177,(T$33:U$33)^{1}),1)</f>
        <v>2.4705000000000008E-2</v>
      </c>
      <c r="X177" s="91">
        <f>INDEX(LINEST(T177:U177,(T$33:U$33)^{1}),1,2)</f>
        <v>0.44029499999999999</v>
      </c>
    </row>
    <row r="178" spans="1:25" x14ac:dyDescent="0.25">
      <c r="A178" s="83"/>
      <c r="B178" s="4">
        <v>5</v>
      </c>
      <c r="C178" s="1">
        <v>0.56000000000000005</v>
      </c>
      <c r="D178" s="1">
        <f t="shared" si="50"/>
        <v>0.54</v>
      </c>
      <c r="E178" s="137">
        <v>0.45</v>
      </c>
      <c r="F178" s="49">
        <f t="shared" si="45"/>
        <v>0.9229349330872173</v>
      </c>
      <c r="G178" s="12">
        <f t="shared" si="51"/>
        <v>0.34976999999999991</v>
      </c>
      <c r="H178" s="12">
        <f t="shared" si="51"/>
        <v>0.37147499999999994</v>
      </c>
      <c r="I178" s="12">
        <f t="shared" si="51"/>
        <v>0.39317999999999997</v>
      </c>
      <c r="J178" s="12">
        <f t="shared" si="51"/>
        <v>0.41488499999999995</v>
      </c>
      <c r="K178" s="12">
        <f t="shared" si="51"/>
        <v>0.43658999999999998</v>
      </c>
      <c r="L178" s="164">
        <f t="shared" si="51"/>
        <v>0.45829500000000001</v>
      </c>
      <c r="M178" s="137">
        <v>0.48</v>
      </c>
      <c r="N178" s="12">
        <f t="shared" si="51"/>
        <v>0.50170500000000007</v>
      </c>
      <c r="O178" s="127">
        <f t="shared" si="47"/>
        <v>0.52341000000000004</v>
      </c>
      <c r="P178" s="12">
        <f t="shared" si="47"/>
        <v>0.54511500000000002</v>
      </c>
      <c r="Q178" s="12">
        <f t="shared" si="47"/>
        <v>0.5668200000000001</v>
      </c>
      <c r="R178" s="132">
        <f t="shared" si="52"/>
        <v>0.58852500000000008</v>
      </c>
      <c r="S178" s="130">
        <f t="shared" si="48"/>
        <v>0.44892074290389944</v>
      </c>
      <c r="T178" s="1">
        <f t="shared" si="53"/>
        <v>0.48</v>
      </c>
      <c r="U178" s="1">
        <f t="shared" si="49"/>
        <v>0.58852500000000008</v>
      </c>
      <c r="V178" s="90" t="s">
        <v>44</v>
      </c>
      <c r="W178" s="91">
        <f>INDEX(LINEST(T178:U178,(T$33:U$33)^{1}),1)</f>
        <v>2.1705000000000016E-2</v>
      </c>
      <c r="X178" s="91">
        <f>INDEX(LINEST(T178:U178,(T$33:U$33)^{1}),1,2)</f>
        <v>0.45829500000000001</v>
      </c>
    </row>
    <row r="179" spans="1:25" x14ac:dyDescent="0.25">
      <c r="A179" s="83"/>
      <c r="B179" s="4">
        <v>10</v>
      </c>
      <c r="C179" s="5">
        <v>0.64</v>
      </c>
      <c r="D179" s="5">
        <f t="shared" si="50"/>
        <v>0.62</v>
      </c>
      <c r="E179" s="138">
        <v>0.52007999999999999</v>
      </c>
      <c r="F179" s="49">
        <f t="shared" si="45"/>
        <v>0.92899630244895759</v>
      </c>
      <c r="G179" s="14">
        <f t="shared" si="51"/>
        <v>0.43794599999999995</v>
      </c>
      <c r="H179" s="14">
        <f t="shared" si="51"/>
        <v>0.45163500000000001</v>
      </c>
      <c r="I179" s="14">
        <f t="shared" si="51"/>
        <v>0.46532400000000002</v>
      </c>
      <c r="J179" s="14">
        <f t="shared" si="51"/>
        <v>0.47901300000000002</v>
      </c>
      <c r="K179" s="14">
        <f>($W179*K$33)+$X179</f>
        <v>0.49270200000000003</v>
      </c>
      <c r="L179" s="165">
        <f t="shared" si="51"/>
        <v>0.50639100000000004</v>
      </c>
      <c r="M179" s="138">
        <v>0.52007999999999999</v>
      </c>
      <c r="N179" s="14">
        <f>($W179*N$33)+$X179</f>
        <v>0.53376900000000005</v>
      </c>
      <c r="O179" s="128">
        <f t="shared" si="47"/>
        <v>0.54745800000000011</v>
      </c>
      <c r="P179" s="14">
        <f t="shared" si="47"/>
        <v>0.56114700000000006</v>
      </c>
      <c r="Q179" s="14">
        <f t="shared" si="47"/>
        <v>0.57483600000000012</v>
      </c>
      <c r="R179" s="133">
        <f t="shared" si="52"/>
        <v>0.58852500000000008</v>
      </c>
      <c r="S179" s="130">
        <f t="shared" si="48"/>
        <v>0.51175336873401001</v>
      </c>
      <c r="T179" s="1">
        <f t="shared" si="53"/>
        <v>0.52007999999999999</v>
      </c>
      <c r="U179" s="1">
        <f t="shared" si="49"/>
        <v>0.58852500000000008</v>
      </c>
      <c r="V179" s="90" t="s">
        <v>44</v>
      </c>
      <c r="W179" s="91">
        <f>INDEX(LINEST(T179:U179,(T$33:U$33)^{1}),1)</f>
        <v>1.3689000000000014E-2</v>
      </c>
      <c r="X179" s="91">
        <f>INDEX(LINEST(T179:U179,(T$33:U$33)^{1}),1,2)</f>
        <v>0.50639100000000004</v>
      </c>
    </row>
    <row r="180" spans="1:25" x14ac:dyDescent="0.25">
      <c r="A180" s="83"/>
      <c r="B180" s="4">
        <v>20</v>
      </c>
      <c r="C180" s="1">
        <v>0.66</v>
      </c>
      <c r="D180" s="1">
        <f t="shared" si="50"/>
        <v>0.64</v>
      </c>
      <c r="E180" s="137">
        <v>0.55983000000000005</v>
      </c>
      <c r="F180" s="49">
        <f t="shared" si="45"/>
        <v>0.9767088872605465</v>
      </c>
      <c r="G180" s="12">
        <f t="shared" si="51"/>
        <v>0.52539599999999997</v>
      </c>
      <c r="H180" s="12">
        <f t="shared" si="51"/>
        <v>0.53113500000000002</v>
      </c>
      <c r="I180" s="12">
        <f t="shared" si="51"/>
        <v>0.53687399999999996</v>
      </c>
      <c r="J180" s="12">
        <f t="shared" si="51"/>
        <v>0.54261300000000001</v>
      </c>
      <c r="K180" s="12">
        <f t="shared" si="51"/>
        <v>0.54835199999999995</v>
      </c>
      <c r="L180" s="164">
        <f t="shared" si="51"/>
        <v>0.554091</v>
      </c>
      <c r="M180" s="137">
        <v>0.55983000000000005</v>
      </c>
      <c r="N180" s="12">
        <f t="shared" si="51"/>
        <v>0.56556899999999999</v>
      </c>
      <c r="O180" s="127">
        <f t="shared" si="47"/>
        <v>0.57130800000000004</v>
      </c>
      <c r="P180" s="12">
        <f t="shared" si="47"/>
        <v>0.57704699999999998</v>
      </c>
      <c r="Q180" s="12">
        <f t="shared" si="47"/>
        <v>0.58278600000000003</v>
      </c>
      <c r="R180" s="132">
        <f t="shared" si="52"/>
        <v>0.58852500000000008</v>
      </c>
      <c r="S180" s="130">
        <f t="shared" si="48"/>
        <v>0.55948103330361321</v>
      </c>
      <c r="T180" s="1">
        <f t="shared" si="53"/>
        <v>0.55983000000000005</v>
      </c>
      <c r="U180" s="1">
        <f t="shared" si="49"/>
        <v>0.58852500000000008</v>
      </c>
      <c r="V180" s="90" t="s">
        <v>44</v>
      </c>
      <c r="W180" s="91">
        <f>INDEX(LINEST(T180:U180,(T$33:U$33)^{1}),1)</f>
        <v>5.7390000000000036E-3</v>
      </c>
      <c r="X180" s="91">
        <f>INDEX(LINEST(T180:U180,(T$33:U$33)^{1}),1,2)</f>
        <v>0.554091</v>
      </c>
    </row>
    <row r="181" spans="1:25" x14ac:dyDescent="0.25">
      <c r="A181" s="83"/>
      <c r="B181" s="4">
        <v>30</v>
      </c>
      <c r="C181" s="1">
        <v>0.68</v>
      </c>
      <c r="D181" s="1">
        <f t="shared" si="50"/>
        <v>0.66</v>
      </c>
      <c r="E181" s="137">
        <v>0.57318000000000002</v>
      </c>
      <c r="F181" s="49">
        <f t="shared" si="45"/>
        <v>0.98846293134668117</v>
      </c>
      <c r="G181" s="12">
        <f t="shared" si="51"/>
        <v>0.55476599999999987</v>
      </c>
      <c r="H181" s="12">
        <f t="shared" si="51"/>
        <v>0.55783499999999986</v>
      </c>
      <c r="I181" s="12">
        <f t="shared" si="51"/>
        <v>0.56090399999999985</v>
      </c>
      <c r="J181" s="12">
        <f t="shared" si="51"/>
        <v>0.56397299999999995</v>
      </c>
      <c r="K181" s="12">
        <f t="shared" si="51"/>
        <v>0.56704199999999993</v>
      </c>
      <c r="L181" s="164">
        <f t="shared" si="51"/>
        <v>0.57011099999999992</v>
      </c>
      <c r="M181" s="137">
        <v>0.57318000000000002</v>
      </c>
      <c r="N181" s="12">
        <f t="shared" si="51"/>
        <v>0.5762489999999999</v>
      </c>
      <c r="O181" s="127">
        <f t="shared" si="47"/>
        <v>0.579318</v>
      </c>
      <c r="P181" s="12">
        <f t="shared" si="47"/>
        <v>0.58238699999999999</v>
      </c>
      <c r="Q181" s="12">
        <f t="shared" si="47"/>
        <v>0.58545599999999998</v>
      </c>
      <c r="R181" s="132">
        <f t="shared" si="52"/>
        <v>0.58852500000000008</v>
      </c>
      <c r="S181" s="130">
        <f t="shared" si="48"/>
        <v>0.57326462157133184</v>
      </c>
      <c r="T181" s="1">
        <f t="shared" si="53"/>
        <v>0.57318000000000002</v>
      </c>
      <c r="U181" s="1">
        <f t="shared" si="49"/>
        <v>0.58852500000000008</v>
      </c>
      <c r="V181" s="90" t="s">
        <v>44</v>
      </c>
      <c r="W181" s="91">
        <f>INDEX(LINEST(T181:U181,(T$33:U$33)^{1}),1)</f>
        <v>3.0690000000000105E-3</v>
      </c>
      <c r="X181" s="91">
        <f>INDEX(LINEST(T181:U181,(T$33:U$33)^{1}),1,2)</f>
        <v>0.57011099999999992</v>
      </c>
    </row>
    <row r="182" spans="1:25" x14ac:dyDescent="0.25">
      <c r="A182" s="83"/>
      <c r="B182" s="4">
        <v>40</v>
      </c>
      <c r="C182" s="1">
        <v>0.69</v>
      </c>
      <c r="D182" s="1">
        <f t="shared" si="50"/>
        <v>0.66999999999999993</v>
      </c>
      <c r="E182" s="137">
        <v>0.57987</v>
      </c>
      <c r="F182" s="49">
        <f t="shared" si="45"/>
        <v>0.99316616997225349</v>
      </c>
      <c r="G182" s="12">
        <f t="shared" si="51"/>
        <v>0.56948399999999988</v>
      </c>
      <c r="H182" s="12">
        <f t="shared" si="51"/>
        <v>0.57121499999999992</v>
      </c>
      <c r="I182" s="12">
        <f t="shared" si="51"/>
        <v>0.57294599999999996</v>
      </c>
      <c r="J182" s="12">
        <f t="shared" si="51"/>
        <v>0.57467699999999988</v>
      </c>
      <c r="K182" s="12">
        <f t="shared" si="51"/>
        <v>0.57640799999999992</v>
      </c>
      <c r="L182" s="164">
        <f t="shared" si="51"/>
        <v>0.57813899999999996</v>
      </c>
      <c r="M182" s="137">
        <v>0.57987</v>
      </c>
      <c r="N182" s="12">
        <f t="shared" si="51"/>
        <v>0.58160100000000003</v>
      </c>
      <c r="O182" s="127">
        <f t="shared" si="47"/>
        <v>0.58333199999999996</v>
      </c>
      <c r="P182" s="12">
        <f t="shared" si="47"/>
        <v>0.585063</v>
      </c>
      <c r="Q182" s="12">
        <f t="shared" si="47"/>
        <v>0.58679400000000004</v>
      </c>
      <c r="R182" s="132">
        <f t="shared" si="52"/>
        <v>0.58852500000000008</v>
      </c>
      <c r="S182" s="130">
        <f t="shared" si="48"/>
        <v>0.57969607552763458</v>
      </c>
      <c r="T182" s="1">
        <f t="shared" si="53"/>
        <v>0.57987</v>
      </c>
      <c r="U182" s="1">
        <f t="shared" si="49"/>
        <v>0.58852500000000008</v>
      </c>
      <c r="V182" s="90" t="s">
        <v>44</v>
      </c>
      <c r="W182" s="91">
        <f>INDEX(LINEST(T182:U182,(T$33:U$33)^{1}),1)</f>
        <v>1.7310000000000151E-3</v>
      </c>
      <c r="X182" s="91">
        <f>INDEX(LINEST(T182:U182,(T$33:U$33)^{1}),1,2)</f>
        <v>0.57813899999999996</v>
      </c>
    </row>
    <row r="183" spans="1:25" x14ac:dyDescent="0.25">
      <c r="A183" s="83"/>
      <c r="B183" s="4">
        <v>50</v>
      </c>
      <c r="C183" s="1">
        <v>0.71</v>
      </c>
      <c r="D183" s="1">
        <f t="shared" si="50"/>
        <v>0.69</v>
      </c>
      <c r="E183" s="137">
        <v>0.58386000000000005</v>
      </c>
      <c r="F183" s="49">
        <f t="shared" si="45"/>
        <v>0.99521025448719047</v>
      </c>
      <c r="G183" s="12">
        <f t="shared" si="51"/>
        <v>0.57826200000000005</v>
      </c>
      <c r="H183" s="12">
        <f t="shared" si="51"/>
        <v>0.57919500000000002</v>
      </c>
      <c r="I183" s="12">
        <f t="shared" si="51"/>
        <v>0.58012800000000009</v>
      </c>
      <c r="J183" s="12">
        <f t="shared" si="51"/>
        <v>0.58106100000000005</v>
      </c>
      <c r="K183" s="12">
        <f t="shared" si="51"/>
        <v>0.58199400000000012</v>
      </c>
      <c r="L183" s="164">
        <f t="shared" si="51"/>
        <v>0.58292700000000008</v>
      </c>
      <c r="M183" s="137">
        <v>0.58386000000000005</v>
      </c>
      <c r="N183" s="12">
        <f t="shared" si="51"/>
        <v>0.58479300000000012</v>
      </c>
      <c r="O183" s="127">
        <f t="shared" si="47"/>
        <v>0.58572600000000008</v>
      </c>
      <c r="P183" s="12">
        <f t="shared" si="47"/>
        <v>0.58665900000000015</v>
      </c>
      <c r="Q183" s="12">
        <f t="shared" si="47"/>
        <v>0.58759200000000011</v>
      </c>
      <c r="R183" s="132">
        <f t="shared" si="52"/>
        <v>0.58852500000000008</v>
      </c>
      <c r="S183" s="130">
        <f t="shared" si="48"/>
        <v>0.58372265833173287</v>
      </c>
      <c r="T183" s="1">
        <f t="shared" si="53"/>
        <v>0.58386000000000005</v>
      </c>
      <c r="U183" s="1">
        <f t="shared" si="49"/>
        <v>0.58852500000000008</v>
      </c>
      <c r="V183" s="90" t="s">
        <v>44</v>
      </c>
      <c r="W183" s="91">
        <f>INDEX(LINEST(T183:U183,(T$33:U$33)^{1}),1)</f>
        <v>9.3300000000000576E-4</v>
      </c>
      <c r="X183" s="91">
        <f>INDEX(LINEST(T183:U183,(T$33:U$33)^{1}),1,2)</f>
        <v>0.58292700000000008</v>
      </c>
    </row>
    <row r="184" spans="1:25" x14ac:dyDescent="0.25">
      <c r="A184" s="83"/>
      <c r="B184" s="4">
        <v>60</v>
      </c>
      <c r="C184" s="1">
        <v>0.72</v>
      </c>
      <c r="D184" s="1">
        <f t="shared" si="50"/>
        <v>0.7</v>
      </c>
      <c r="E184" s="137">
        <v>0.58667000000000002</v>
      </c>
      <c r="F184" s="49">
        <f t="shared" si="45"/>
        <v>0.99689039932030588</v>
      </c>
      <c r="G184" s="12">
        <f t="shared" si="51"/>
        <v>0.58444399999999996</v>
      </c>
      <c r="H184" s="12">
        <f t="shared" si="51"/>
        <v>0.58481499999999997</v>
      </c>
      <c r="I184" s="12">
        <f t="shared" si="51"/>
        <v>0.58518599999999998</v>
      </c>
      <c r="J184" s="12">
        <f t="shared" si="51"/>
        <v>0.58555699999999999</v>
      </c>
      <c r="K184" s="12">
        <f t="shared" si="51"/>
        <v>0.585928</v>
      </c>
      <c r="L184" s="164">
        <f t="shared" si="51"/>
        <v>0.58629900000000001</v>
      </c>
      <c r="M184" s="137">
        <v>0.58667000000000002</v>
      </c>
      <c r="N184" s="12">
        <f t="shared" si="51"/>
        <v>0.58704100000000004</v>
      </c>
      <c r="O184" s="127">
        <f t="shared" si="47"/>
        <v>0.58741200000000005</v>
      </c>
      <c r="P184" s="12">
        <f t="shared" si="47"/>
        <v>0.58778300000000006</v>
      </c>
      <c r="Q184" s="12">
        <f t="shared" si="47"/>
        <v>0.58815400000000007</v>
      </c>
      <c r="R184" s="132">
        <f t="shared" si="52"/>
        <v>0.58852500000000008</v>
      </c>
      <c r="S184" s="130">
        <f t="shared" si="48"/>
        <v>0.58623169364588201</v>
      </c>
      <c r="T184" s="1">
        <f t="shared" si="53"/>
        <v>0.58667000000000002</v>
      </c>
      <c r="U184" s="1">
        <f t="shared" si="49"/>
        <v>0.58852500000000008</v>
      </c>
      <c r="V184" s="90" t="s">
        <v>44</v>
      </c>
      <c r="W184" s="91">
        <f>INDEX(LINEST(T184:U184,(T$33:U$33)^{1}),1)</f>
        <v>3.7100000000001016E-4</v>
      </c>
      <c r="X184" s="91">
        <f>INDEX(LINEST(T184:U184,(T$33:U$33)^{1}),1,2)</f>
        <v>0.58629900000000001</v>
      </c>
    </row>
    <row r="185" spans="1:25" x14ac:dyDescent="0.25">
      <c r="A185" s="83"/>
      <c r="B185" s="4">
        <v>70</v>
      </c>
      <c r="C185" s="5">
        <v>0.72</v>
      </c>
      <c r="D185" s="5">
        <f t="shared" si="50"/>
        <v>0.7</v>
      </c>
      <c r="E185" s="139">
        <v>0.58850000000000002</v>
      </c>
      <c r="F185" s="52">
        <f>M185/M185</f>
        <v>1</v>
      </c>
      <c r="G185" s="53">
        <f t="shared" si="51"/>
        <v>0.58846999999999994</v>
      </c>
      <c r="H185" s="53">
        <f t="shared" si="51"/>
        <v>0.58847499999999997</v>
      </c>
      <c r="I185" s="53">
        <f t="shared" si="51"/>
        <v>0.58848</v>
      </c>
      <c r="J185" s="53">
        <f t="shared" si="51"/>
        <v>0.58848499999999992</v>
      </c>
      <c r="K185" s="53">
        <f t="shared" si="51"/>
        <v>0.58848999999999996</v>
      </c>
      <c r="L185" s="166">
        <f t="shared" si="51"/>
        <v>0.58849499999999999</v>
      </c>
      <c r="M185" s="139">
        <v>0.58850000000000002</v>
      </c>
      <c r="N185" s="53">
        <f>($W185*N$33)+$X185</f>
        <v>0.58850500000000006</v>
      </c>
      <c r="O185" s="129">
        <f t="shared" si="47"/>
        <v>0.58850999999999998</v>
      </c>
      <c r="P185" s="53">
        <f t="shared" si="47"/>
        <v>0.58851500000000001</v>
      </c>
      <c r="Q185" s="53">
        <f t="shared" si="47"/>
        <v>0.58852000000000004</v>
      </c>
      <c r="R185" s="134">
        <f>$R$164</f>
        <v>0.58852500000000008</v>
      </c>
      <c r="T185" s="12">
        <f>M185</f>
        <v>0.58850000000000002</v>
      </c>
      <c r="U185" s="130">
        <f>R185</f>
        <v>0.58852500000000008</v>
      </c>
      <c r="V185" s="90" t="s">
        <v>44</v>
      </c>
      <c r="W185" s="91">
        <f>INDEX(LINEST(T185:U185,(T$33:U$33)^{1}),1)</f>
        <v>5.0000000000105519E-6</v>
      </c>
      <c r="X185" s="91">
        <f>INDEX(LINEST(T185:U185,(T$33:U$33)^{1}),1,2)</f>
        <v>0.58849499999999999</v>
      </c>
    </row>
    <row r="186" spans="1:25" x14ac:dyDescent="0.25">
      <c r="A186" s="83"/>
      <c r="T186" s="1"/>
      <c r="U186" s="1"/>
      <c r="V186" s="90"/>
    </row>
    <row r="187" spans="1:25" x14ac:dyDescent="0.25">
      <c r="D187" s="20" t="s">
        <v>78</v>
      </c>
      <c r="T187" s="1"/>
      <c r="U187" s="1"/>
      <c r="V187" s="90"/>
    </row>
    <row r="188" spans="1:25" x14ac:dyDescent="0.25">
      <c r="D188" s="20" t="s">
        <v>99</v>
      </c>
      <c r="T188" s="1"/>
      <c r="U188" s="1"/>
      <c r="V188" s="90"/>
    </row>
    <row r="189" spans="1:25" x14ac:dyDescent="0.25">
      <c r="D189" s="20" t="s">
        <v>100</v>
      </c>
      <c r="T189" s="1"/>
    </row>
    <row r="190" spans="1:25" x14ac:dyDescent="0.25">
      <c r="D190" s="174" t="s">
        <v>118</v>
      </c>
      <c r="T190" s="1"/>
    </row>
    <row r="191" spans="1:25" x14ac:dyDescent="0.25">
      <c r="T191" s="1"/>
      <c r="U191" s="7"/>
      <c r="X191" s="1" t="s">
        <v>113</v>
      </c>
    </row>
    <row r="192" spans="1:25" x14ac:dyDescent="0.25">
      <c r="H192" s="4" t="s">
        <v>9</v>
      </c>
      <c r="M192" s="122" t="s">
        <v>93</v>
      </c>
      <c r="V192" s="168" t="s">
        <v>110</v>
      </c>
      <c r="W192">
        <f>0.6/0.65</f>
        <v>0.92307692307692302</v>
      </c>
      <c r="X192" s="1" t="s">
        <v>103</v>
      </c>
      <c r="Y192" t="s">
        <v>112</v>
      </c>
    </row>
    <row r="193" spans="2:25" x14ac:dyDescent="0.25">
      <c r="B193" s="98"/>
      <c r="C193" s="22"/>
      <c r="D193" s="23"/>
      <c r="H193" s="4">
        <v>1</v>
      </c>
      <c r="J193" s="63">
        <f>(J174*$D$88*SQRT(4*$D$90*$B$94/32.2)/12)*$H193/2</f>
        <v>0.64029743701252384</v>
      </c>
      <c r="K193" s="63">
        <f t="shared" ref="K193:L193" si="54">(K174*$D$88*SQRT(4*$D$90*$B$94/32.2)/12)*$H193/2</f>
        <v>0.78794172844342725</v>
      </c>
      <c r="L193" s="63">
        <f t="shared" si="54"/>
        <v>0.93558601987433077</v>
      </c>
      <c r="M193" s="63">
        <f>(M174*$D$88*SQRT(4*$D$90*$B$94/32.2)/12)*$H193/2</f>
        <v>1.0832303113052342</v>
      </c>
      <c r="N193" s="63">
        <f t="shared" ref="N193:R193" si="55">(N174*$D$88*SQRT(4*$D$90*$B$94/32.2)/12)*$H193/2</f>
        <v>1.2308746027361375</v>
      </c>
      <c r="O193" s="63">
        <f t="shared" si="55"/>
        <v>1.3785188941670408</v>
      </c>
      <c r="P193" s="63">
        <f t="shared" si="55"/>
        <v>1.5261631855979443</v>
      </c>
      <c r="Q193" s="63">
        <f t="shared" si="55"/>
        <v>1.6738074770288476</v>
      </c>
      <c r="R193" s="63">
        <f t="shared" si="55"/>
        <v>1.8214517684597515</v>
      </c>
      <c r="T193" s="11">
        <f>'curve_rzeta_targetnu_add_2.5'!N222</f>
        <v>1.1327423016478957</v>
      </c>
      <c r="W193" s="153">
        <f>X193*$W$192</f>
        <v>1.0751460405458204</v>
      </c>
      <c r="X193" s="149">
        <v>1.1647415439246389</v>
      </c>
      <c r="Y193" s="170">
        <f>T193/W193</f>
        <v>1.0535706396433691</v>
      </c>
    </row>
    <row r="194" spans="2:25" x14ac:dyDescent="0.25">
      <c r="B194" s="104"/>
      <c r="C194" s="105"/>
      <c r="D194" s="116"/>
      <c r="H194" s="4">
        <v>2</v>
      </c>
      <c r="J194" s="58">
        <f t="shared" ref="J194:R204" si="56">(J175*$D$88*SQRT(4*$D$90*$B$94/32.2)/12)*$H194/2</f>
        <v>1.8748240733696333</v>
      </c>
      <c r="K194" s="58">
        <f t="shared" si="56"/>
        <v>2.0958340063133676</v>
      </c>
      <c r="L194" s="58">
        <f t="shared" si="56"/>
        <v>2.3168439392571005</v>
      </c>
      <c r="M194" s="58">
        <f t="shared" si="56"/>
        <v>2.5378538722008339</v>
      </c>
      <c r="N194" s="58">
        <f t="shared" si="56"/>
        <v>2.7588638051445682</v>
      </c>
      <c r="O194" s="58">
        <f t="shared" si="56"/>
        <v>2.9798737380883016</v>
      </c>
      <c r="P194" s="58">
        <f t="shared" si="56"/>
        <v>3.2008836710320359</v>
      </c>
      <c r="Q194" s="58">
        <f t="shared" si="56"/>
        <v>3.4218936039757692</v>
      </c>
      <c r="R194" s="58">
        <f t="shared" si="56"/>
        <v>3.6429035369195031</v>
      </c>
      <c r="T194" s="11">
        <f>'curve_rzeta_targetnu_add_2.5'!N223</f>
        <v>0.80386552709665182</v>
      </c>
      <c r="U194" s="115">
        <f>T194-T193</f>
        <v>-0.32887677455124387</v>
      </c>
      <c r="W194" s="154">
        <f t="shared" ref="W194:W204" si="57">X194*$W$192</f>
        <v>0.75126026797673906</v>
      </c>
      <c r="X194" s="150">
        <v>0.81386529030813404</v>
      </c>
      <c r="Y194" s="170">
        <f t="shared" ref="Y194:Y197" si="58">T194/W194</f>
        <v>1.0700226823675727</v>
      </c>
    </row>
    <row r="195" spans="2:25" x14ac:dyDescent="0.25">
      <c r="B195" s="104"/>
      <c r="C195" s="105"/>
      <c r="D195" s="116"/>
      <c r="H195" s="4">
        <v>3</v>
      </c>
      <c r="J195" s="67">
        <f t="shared" si="56"/>
        <v>3.3321866594809619</v>
      </c>
      <c r="K195" s="67">
        <f t="shared" si="56"/>
        <v>3.5987077402182486</v>
      </c>
      <c r="L195" s="67">
        <f t="shared" si="56"/>
        <v>3.8652288209555348</v>
      </c>
      <c r="M195" s="67">
        <f t="shared" si="56"/>
        <v>4.1317499016928219</v>
      </c>
      <c r="N195" s="67">
        <f t="shared" si="56"/>
        <v>4.3982709824301081</v>
      </c>
      <c r="O195" s="67">
        <f t="shared" si="56"/>
        <v>4.6647920631673943</v>
      </c>
      <c r="P195" s="67">
        <f t="shared" si="56"/>
        <v>4.9313131439046805</v>
      </c>
      <c r="Q195" s="67">
        <f t="shared" si="56"/>
        <v>5.1978342246419666</v>
      </c>
      <c r="R195" s="67">
        <f t="shared" si="56"/>
        <v>5.4643553053792546</v>
      </c>
      <c r="T195" s="11">
        <f>'curve_rzeta_targetnu_add_2.5'!N224</f>
        <v>0.70723962775449734</v>
      </c>
      <c r="U195" s="115">
        <f t="shared" ref="U195:U201" si="59">T195-T194</f>
        <v>-9.6625899342154487E-2</v>
      </c>
      <c r="W195" s="157">
        <f t="shared" si="57"/>
        <v>0.67314379091054632</v>
      </c>
      <c r="X195" s="150">
        <v>0.72923910681975856</v>
      </c>
      <c r="Y195" s="170">
        <f t="shared" si="58"/>
        <v>1.0506516398195256</v>
      </c>
    </row>
    <row r="196" spans="2:25" x14ac:dyDescent="0.25">
      <c r="B196" s="106"/>
      <c r="C196" s="112"/>
      <c r="D196" s="117"/>
      <c r="H196" s="4">
        <v>4</v>
      </c>
      <c r="J196" s="58">
        <f t="shared" si="56"/>
        <v>4.8390683455376733</v>
      </c>
      <c r="K196" s="58">
        <f t="shared" si="56"/>
        <v>5.1449106865753391</v>
      </c>
      <c r="L196" s="58">
        <f t="shared" si="56"/>
        <v>5.4507530276130067</v>
      </c>
      <c r="M196" s="58">
        <f t="shared" si="56"/>
        <v>5.7565953686506726</v>
      </c>
      <c r="N196" s="58">
        <f t="shared" si="56"/>
        <v>6.0624377096883393</v>
      </c>
      <c r="O196" s="58">
        <f t="shared" si="56"/>
        <v>6.368280050726006</v>
      </c>
      <c r="P196" s="58">
        <f t="shared" si="56"/>
        <v>6.6741223917636718</v>
      </c>
      <c r="Q196" s="58">
        <f t="shared" si="56"/>
        <v>6.9799647328013386</v>
      </c>
      <c r="R196" s="58">
        <f t="shared" si="56"/>
        <v>7.2858070738390062</v>
      </c>
      <c r="T196" s="11">
        <f>'curve_rzeta_targetnu_add_2.5'!N225</f>
        <v>0.65892667808342031</v>
      </c>
      <c r="U196" s="115">
        <f t="shared" si="59"/>
        <v>-4.8312949671077021E-2</v>
      </c>
      <c r="W196" s="154">
        <f t="shared" si="57"/>
        <v>0.6340855523774499</v>
      </c>
      <c r="X196" s="150">
        <v>0.68692601507557083</v>
      </c>
      <c r="Y196" s="170">
        <f t="shared" si="58"/>
        <v>1.0391762998113279</v>
      </c>
    </row>
    <row r="197" spans="2:25" x14ac:dyDescent="0.25">
      <c r="B197" s="101"/>
      <c r="C197" s="102"/>
      <c r="D197" s="102"/>
      <c r="E197" s="103"/>
      <c r="H197" s="4">
        <v>5</v>
      </c>
      <c r="J197" s="58">
        <f t="shared" si="56"/>
        <v>6.4202286815124578</v>
      </c>
      <c r="K197" s="58">
        <f t="shared" si="56"/>
        <v>6.7561074516107444</v>
      </c>
      <c r="L197" s="58">
        <f t="shared" si="56"/>
        <v>7.0919862217090337</v>
      </c>
      <c r="M197" s="58">
        <f t="shared" si="56"/>
        <v>7.4278649918073194</v>
      </c>
      <c r="N197" s="58">
        <f t="shared" si="56"/>
        <v>7.7637437619056069</v>
      </c>
      <c r="O197" s="58">
        <f t="shared" si="56"/>
        <v>8.0996225320038953</v>
      </c>
      <c r="P197" s="58">
        <f t="shared" si="56"/>
        <v>8.4355013021021819</v>
      </c>
      <c r="Q197" s="58">
        <f t="shared" si="56"/>
        <v>8.7713800722004702</v>
      </c>
      <c r="R197" s="58">
        <f t="shared" si="56"/>
        <v>9.1072588422987586</v>
      </c>
      <c r="T197" s="11">
        <f>'curve_rzeta_targetnu_add_2.5'!N226</f>
        <v>0.64153863360609331</v>
      </c>
      <c r="U197" s="115">
        <f t="shared" si="59"/>
        <v>-1.7388044477327003E-2</v>
      </c>
      <c r="W197" s="154">
        <f t="shared" si="57"/>
        <v>0.61526588458596843</v>
      </c>
      <c r="X197" s="150">
        <v>0.66653804163479913</v>
      </c>
      <c r="Y197" s="170">
        <f t="shared" si="58"/>
        <v>1.0427014558718863</v>
      </c>
    </row>
    <row r="198" spans="2:25" x14ac:dyDescent="0.25">
      <c r="B198" s="108"/>
      <c r="C198" s="109"/>
      <c r="D198" s="22"/>
      <c r="E198" s="23"/>
      <c r="H198" s="4">
        <v>10</v>
      </c>
      <c r="J198" s="67">
        <f t="shared" si="56"/>
        <v>14.825182888835833</v>
      </c>
      <c r="K198" s="67">
        <f t="shared" si="56"/>
        <v>15.24884973830604</v>
      </c>
      <c r="L198" s="67">
        <f t="shared" si="56"/>
        <v>15.672516587776252</v>
      </c>
      <c r="M198" s="67">
        <f t="shared" si="56"/>
        <v>16.096183437246459</v>
      </c>
      <c r="N198" s="67">
        <f t="shared" si="56"/>
        <v>16.519850286716672</v>
      </c>
      <c r="O198" s="67">
        <f t="shared" si="56"/>
        <v>16.943517136186884</v>
      </c>
      <c r="P198" s="67">
        <f t="shared" si="56"/>
        <v>17.367183985657093</v>
      </c>
      <c r="Q198" s="67">
        <f t="shared" si="56"/>
        <v>17.790850835127305</v>
      </c>
      <c r="R198" s="67">
        <f t="shared" si="56"/>
        <v>18.214517684597517</v>
      </c>
      <c r="S198" s="156"/>
      <c r="T198" s="11">
        <f>'curve_rzeta_targetnu_add_2.5'!N227</f>
        <v>0.60976247361488434</v>
      </c>
      <c r="U198" s="115">
        <f t="shared" si="59"/>
        <v>-3.1776159991208974E-2</v>
      </c>
      <c r="V198" s="156"/>
      <c r="W198" s="157">
        <f t="shared" si="57"/>
        <v>0.6007029256448877</v>
      </c>
      <c r="X198" s="158">
        <v>0.65076150278196176</v>
      </c>
      <c r="Y198" s="170"/>
    </row>
    <row r="199" spans="2:25" x14ac:dyDescent="0.25">
      <c r="B199" s="110"/>
      <c r="C199" s="111"/>
      <c r="E199" s="25"/>
      <c r="H199" s="4">
        <v>20</v>
      </c>
      <c r="J199" s="58">
        <f t="shared" si="56"/>
        <v>33.587134223329542</v>
      </c>
      <c r="K199" s="58">
        <f t="shared" si="56"/>
        <v>33.942371866562723</v>
      </c>
      <c r="L199" s="58">
        <f t="shared" si="56"/>
        <v>34.297609509795912</v>
      </c>
      <c r="M199" s="58">
        <f t="shared" si="56"/>
        <v>34.6528471530291</v>
      </c>
      <c r="N199" s="58">
        <f t="shared" si="56"/>
        <v>35.008084796262281</v>
      </c>
      <c r="O199" s="58">
        <f t="shared" si="56"/>
        <v>35.363322439495462</v>
      </c>
      <c r="P199" s="58">
        <f t="shared" si="56"/>
        <v>35.718560082728658</v>
      </c>
      <c r="Q199" s="58">
        <f t="shared" si="56"/>
        <v>36.073797725961839</v>
      </c>
      <c r="R199" s="58">
        <f t="shared" si="56"/>
        <v>36.429035369195034</v>
      </c>
      <c r="T199" s="11">
        <f>'curve_rzeta_targetnu_add_2.5'!N228</f>
        <v>0.60037423970674353</v>
      </c>
      <c r="U199" s="115">
        <f t="shared" si="59"/>
        <v>-9.3882339081408084E-3</v>
      </c>
      <c r="W199" s="154">
        <f t="shared" si="57"/>
        <v>0.59997513714064188</v>
      </c>
      <c r="X199" s="150">
        <v>0.64997306523569542</v>
      </c>
    </row>
    <row r="200" spans="2:25" x14ac:dyDescent="0.25">
      <c r="B200" s="113"/>
      <c r="C200" s="27"/>
      <c r="D200" s="118"/>
      <c r="E200" s="29"/>
      <c r="H200" s="4">
        <v>30</v>
      </c>
      <c r="J200" s="58">
        <f t="shared" si="56"/>
        <v>52.36394128780686</v>
      </c>
      <c r="K200" s="58">
        <f t="shared" si="56"/>
        <v>52.648892758555064</v>
      </c>
      <c r="L200" s="58">
        <f t="shared" si="56"/>
        <v>52.933844229303276</v>
      </c>
      <c r="M200" s="58">
        <f t="shared" si="56"/>
        <v>53.218795700051494</v>
      </c>
      <c r="N200" s="58">
        <f t="shared" si="56"/>
        <v>53.503747170799691</v>
      </c>
      <c r="O200" s="58">
        <f t="shared" si="56"/>
        <v>53.78869864154791</v>
      </c>
      <c r="P200" s="58">
        <f t="shared" si="56"/>
        <v>54.073650112296114</v>
      </c>
      <c r="Q200" s="58">
        <f t="shared" si="56"/>
        <v>54.358601583044326</v>
      </c>
      <c r="R200" s="58">
        <f t="shared" si="56"/>
        <v>54.643553053792544</v>
      </c>
      <c r="T200" s="11">
        <f>'curve_rzeta_targetnu_add_2.5'!N229</f>
        <v>0.59991143192709162</v>
      </c>
      <c r="U200" s="115">
        <f t="shared" si="59"/>
        <v>-4.6280777965190811E-4</v>
      </c>
      <c r="W200" s="154">
        <f t="shared" si="57"/>
        <v>0.60000945749226253</v>
      </c>
      <c r="X200" s="150">
        <v>0.6500102456166178</v>
      </c>
    </row>
    <row r="201" spans="2:25" x14ac:dyDescent="0.25">
      <c r="H201" s="4">
        <v>40</v>
      </c>
      <c r="J201" s="58">
        <f t="shared" si="56"/>
        <v>71.143719498280902</v>
      </c>
      <c r="K201" s="58">
        <f t="shared" si="56"/>
        <v>71.358013403294549</v>
      </c>
      <c r="L201" s="58">
        <f t="shared" si="56"/>
        <v>71.572307308308197</v>
      </c>
      <c r="M201" s="58">
        <f t="shared" si="56"/>
        <v>71.786601213321831</v>
      </c>
      <c r="N201" s="58">
        <f t="shared" si="56"/>
        <v>72.000895118335492</v>
      </c>
      <c r="O201" s="58">
        <f t="shared" si="56"/>
        <v>72.215189023349112</v>
      </c>
      <c r="P201" s="58">
        <f t="shared" si="56"/>
        <v>72.429482928362759</v>
      </c>
      <c r="Q201" s="58">
        <f t="shared" si="56"/>
        <v>72.643776833376421</v>
      </c>
      <c r="R201" s="58">
        <f t="shared" si="56"/>
        <v>72.858070738390069</v>
      </c>
      <c r="T201" s="11">
        <f>'curve_rzeta_targetnu_add_2.5'!N230</f>
        <v>0.60018001619784</v>
      </c>
      <c r="U201" s="115">
        <f t="shared" si="59"/>
        <v>2.6858427074838431E-4</v>
      </c>
      <c r="W201" s="154">
        <f t="shared" si="57"/>
        <v>0.59998046491478918</v>
      </c>
      <c r="X201" s="150">
        <v>0.64997883699102166</v>
      </c>
    </row>
    <row r="202" spans="2:25" x14ac:dyDescent="0.25">
      <c r="B202" s="99"/>
      <c r="C202" s="100"/>
      <c r="H202" s="4">
        <v>50</v>
      </c>
      <c r="J202" s="58">
        <f t="shared" si="56"/>
        <v>89.917555416761545</v>
      </c>
      <c r="K202" s="58">
        <f t="shared" si="56"/>
        <v>90.061934542539788</v>
      </c>
      <c r="L202" s="58">
        <f t="shared" si="56"/>
        <v>90.206313668318046</v>
      </c>
      <c r="M202" s="58">
        <f t="shared" si="56"/>
        <v>90.350692794096304</v>
      </c>
      <c r="N202" s="58">
        <f t="shared" si="56"/>
        <v>90.495071919874547</v>
      </c>
      <c r="O202" s="58">
        <f t="shared" si="56"/>
        <v>90.63945104565282</v>
      </c>
      <c r="P202" s="58">
        <f t="shared" si="56"/>
        <v>90.783830171431063</v>
      </c>
      <c r="Q202" s="58">
        <f t="shared" si="56"/>
        <v>90.928209297209321</v>
      </c>
      <c r="R202" s="58">
        <f t="shared" si="56"/>
        <v>91.072588422987579</v>
      </c>
      <c r="T202" s="11">
        <f>'curve_rzeta_targetnu_add_2.5'!N231</f>
        <v>0.60014117149605906</v>
      </c>
      <c r="W202" s="154">
        <f t="shared" si="57"/>
        <v>0.60003691377355917</v>
      </c>
      <c r="X202" s="150">
        <v>0.65003998992135581</v>
      </c>
    </row>
    <row r="203" spans="2:25" x14ac:dyDescent="0.25">
      <c r="B203" s="106"/>
      <c r="C203" s="107"/>
      <c r="H203" s="4">
        <v>60</v>
      </c>
      <c r="J203" s="58">
        <f t="shared" si="56"/>
        <v>108.73595852519296</v>
      </c>
      <c r="K203" s="58">
        <f t="shared" si="56"/>
        <v>108.80485197299197</v>
      </c>
      <c r="L203" s="58">
        <f t="shared" si="56"/>
        <v>108.873745420791</v>
      </c>
      <c r="M203" s="58">
        <f t="shared" si="56"/>
        <v>108.94263886859001</v>
      </c>
      <c r="N203" s="58">
        <f t="shared" si="56"/>
        <v>109.01153231638901</v>
      </c>
      <c r="O203" s="58">
        <f t="shared" si="56"/>
        <v>109.08042576418805</v>
      </c>
      <c r="P203" s="58">
        <f t="shared" si="56"/>
        <v>109.14931921198706</v>
      </c>
      <c r="Q203" s="58">
        <f t="shared" si="56"/>
        <v>109.21821265978608</v>
      </c>
      <c r="R203" s="58">
        <f t="shared" si="56"/>
        <v>109.28710610758509</v>
      </c>
      <c r="T203" s="11">
        <f>'curve_rzeta_targetnu_add_2.5'!N232</f>
        <v>0.60044860046858817</v>
      </c>
      <c r="W203" s="154">
        <f t="shared" si="57"/>
        <v>0.60004377784388341</v>
      </c>
      <c r="X203" s="150">
        <v>0.6500474259975404</v>
      </c>
    </row>
    <row r="204" spans="2:25" x14ac:dyDescent="0.25">
      <c r="H204" s="4">
        <v>70</v>
      </c>
      <c r="J204" s="67">
        <f t="shared" si="56"/>
        <v>127.49295794969213</v>
      </c>
      <c r="K204" s="67">
        <f t="shared" si="56"/>
        <v>127.49404118000345</v>
      </c>
      <c r="L204" s="67">
        <f t="shared" si="56"/>
        <v>127.49512441031476</v>
      </c>
      <c r="M204" s="67">
        <f t="shared" si="56"/>
        <v>127.49620764062607</v>
      </c>
      <c r="N204" s="67">
        <f t="shared" si="56"/>
        <v>127.49729087093736</v>
      </c>
      <c r="O204" s="67">
        <f t="shared" si="56"/>
        <v>127.49837410124866</v>
      </c>
      <c r="P204" s="67">
        <f t="shared" si="56"/>
        <v>127.49945733155998</v>
      </c>
      <c r="Q204" s="67">
        <f t="shared" si="56"/>
        <v>127.50054056187128</v>
      </c>
      <c r="R204" s="67">
        <f t="shared" si="56"/>
        <v>127.50162379218261</v>
      </c>
      <c r="T204" s="11">
        <f>'curve_rzeta_targetnu_add_2.5'!N233</f>
        <v>0.59972535777474034</v>
      </c>
      <c r="W204" s="155">
        <f t="shared" si="57"/>
        <v>0.60002230774938115</v>
      </c>
      <c r="X204" s="151">
        <v>0.65002416672849628</v>
      </c>
    </row>
    <row r="205" spans="2:25" x14ac:dyDescent="0.25">
      <c r="M205" s="114"/>
    </row>
    <row r="213" spans="13:13" x14ac:dyDescent="0.25">
      <c r="M213">
        <f>38.4+2.5</f>
        <v>40.9</v>
      </c>
    </row>
    <row r="235" spans="1:1" x14ac:dyDescent="0.25">
      <c r="A235" t="s">
        <v>12</v>
      </c>
    </row>
  </sheetData>
  <pageMargins left="0.7" right="0.7" top="0.75" bottom="0.75" header="0.3" footer="0.3"/>
  <pageSetup scale="9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1D6E5-D936-4E72-9B3D-210B1AE61B7C}">
  <sheetPr transitionEvaluation="1" transitionEntry="1"/>
  <dimension ref="A2:Y86"/>
  <sheetViews>
    <sheetView showGridLines="0" zoomScale="90" zoomScaleNormal="90" workbookViewId="0"/>
  </sheetViews>
  <sheetFormatPr defaultRowHeight="15" x14ac:dyDescent="0.25"/>
  <cols>
    <col min="1" max="6" width="9.28515625" customWidth="1"/>
    <col min="7" max="7" width="10.85546875" customWidth="1"/>
    <col min="8" max="8" width="9.28515625" customWidth="1"/>
    <col min="9" max="9" width="10.140625" customWidth="1"/>
    <col min="10" max="31" width="9.28515625" customWidth="1"/>
  </cols>
  <sheetData>
    <row r="2" spans="1:25" ht="15.75" x14ac:dyDescent="0.25">
      <c r="A2" t="s">
        <v>0</v>
      </c>
      <c r="B2" t="s">
        <v>46</v>
      </c>
      <c r="K2" s="189" t="s">
        <v>131</v>
      </c>
    </row>
    <row r="3" spans="1:25" ht="15.75" x14ac:dyDescent="0.25">
      <c r="A3" t="s">
        <v>1</v>
      </c>
      <c r="K3" s="189" t="s">
        <v>132</v>
      </c>
    </row>
    <row r="4" spans="1:25" x14ac:dyDescent="0.25">
      <c r="A4" t="s">
        <v>2</v>
      </c>
    </row>
    <row r="6" spans="1:25" x14ac:dyDescent="0.25">
      <c r="B6" s="2" t="s">
        <v>3</v>
      </c>
      <c r="C6" t="s">
        <v>5</v>
      </c>
    </row>
    <row r="7" spans="1:25" x14ac:dyDescent="0.25">
      <c r="B7" s="2" t="s">
        <v>21</v>
      </c>
      <c r="C7" t="s">
        <v>6</v>
      </c>
    </row>
    <row r="8" spans="1:25" x14ac:dyDescent="0.25">
      <c r="B8" s="2" t="s">
        <v>4</v>
      </c>
      <c r="C8" t="s">
        <v>7</v>
      </c>
    </row>
    <row r="10" spans="1:25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2" spans="1:25" ht="15.75" x14ac:dyDescent="0.25">
      <c r="B12" t="s">
        <v>46</v>
      </c>
      <c r="K12" s="189" t="s">
        <v>131</v>
      </c>
    </row>
    <row r="13" spans="1:25" ht="15.75" x14ac:dyDescent="0.25">
      <c r="B13" t="s">
        <v>47</v>
      </c>
      <c r="K13" s="189" t="s">
        <v>132</v>
      </c>
    </row>
    <row r="16" spans="1:25" x14ac:dyDescent="0.25">
      <c r="D16" s="70">
        <v>0.9</v>
      </c>
      <c r="E16" t="s">
        <v>55</v>
      </c>
    </row>
    <row r="17" spans="3:15" x14ac:dyDescent="0.25">
      <c r="D17" s="70">
        <v>0.96</v>
      </c>
      <c r="E17" t="s">
        <v>54</v>
      </c>
    </row>
    <row r="18" spans="3:15" x14ac:dyDescent="0.25">
      <c r="D18" s="70">
        <v>85</v>
      </c>
      <c r="E18" t="s">
        <v>53</v>
      </c>
    </row>
    <row r="19" spans="3:15" x14ac:dyDescent="0.25">
      <c r="D19" s="77" t="s">
        <v>70</v>
      </c>
      <c r="E19" s="20" t="s">
        <v>69</v>
      </c>
    </row>
    <row r="20" spans="3:15" x14ac:dyDescent="0.25">
      <c r="E20" t="s">
        <v>71</v>
      </c>
    </row>
    <row r="21" spans="3:15" x14ac:dyDescent="0.25">
      <c r="C21" s="4"/>
      <c r="D21" s="4" t="s">
        <v>48</v>
      </c>
      <c r="E21" s="4" t="s">
        <v>49</v>
      </c>
      <c r="F21" s="4" t="s">
        <v>56</v>
      </c>
      <c r="G21" s="60" t="s">
        <v>10</v>
      </c>
      <c r="H21" s="4" t="s">
        <v>50</v>
      </c>
      <c r="J21" s="4" t="s">
        <v>51</v>
      </c>
      <c r="K21" s="4" t="s">
        <v>48</v>
      </c>
      <c r="L21" s="4" t="s">
        <v>49</v>
      </c>
      <c r="M21" s="4" t="s">
        <v>56</v>
      </c>
      <c r="N21" s="60" t="s">
        <v>10</v>
      </c>
      <c r="O21" s="4" t="s">
        <v>50</v>
      </c>
    </row>
    <row r="22" spans="3:15" x14ac:dyDescent="0.25">
      <c r="C22" s="4" t="s">
        <v>9</v>
      </c>
      <c r="D22" s="4" t="s">
        <v>52</v>
      </c>
      <c r="E22" s="4" t="s">
        <v>52</v>
      </c>
      <c r="F22" s="4" t="s">
        <v>57</v>
      </c>
      <c r="G22" s="4"/>
      <c r="H22" s="4"/>
      <c r="J22" s="56">
        <v>2.5</v>
      </c>
      <c r="K22" s="4" t="s">
        <v>52</v>
      </c>
      <c r="L22" s="4" t="s">
        <v>52</v>
      </c>
      <c r="M22" s="4" t="s">
        <v>57</v>
      </c>
      <c r="N22" s="4"/>
      <c r="O22" s="4"/>
    </row>
    <row r="23" spans="3:15" x14ac:dyDescent="0.25">
      <c r="C23" s="4">
        <v>1</v>
      </c>
      <c r="D23" s="62">
        <v>2.8</v>
      </c>
      <c r="E23" s="126">
        <f>'curve_rzeta_targetnu_2.5'!M222</f>
        <v>1.0058567176405746</v>
      </c>
      <c r="F23" s="63">
        <f>(E23*2)/C23</f>
        <v>2.0117134352811492</v>
      </c>
      <c r="G23" s="119">
        <f>SQRT(12*32.2*F23^2/(4*$D$18*($D$17*56)*$D$16^2))</f>
        <v>0.32499230437317389</v>
      </c>
      <c r="H23" s="65">
        <f>E23/D23</f>
        <v>0.35923454201449095</v>
      </c>
      <c r="J23" s="1"/>
      <c r="K23" s="71">
        <f>D23+$J$22</f>
        <v>5.3</v>
      </c>
      <c r="L23" s="63">
        <f>E23+$J$22</f>
        <v>3.5058567176405746</v>
      </c>
      <c r="M23" s="63">
        <f>(L23*2)/C23</f>
        <v>7.0117134352811492</v>
      </c>
      <c r="N23" s="119">
        <f>SQRT(12*32.2*M23^2/(4*$D$18*($D$17*56)*$D$16^2))</f>
        <v>1.1327423016478957</v>
      </c>
      <c r="O23" s="65">
        <f t="shared" ref="O23:O34" si="0">L23/K23</f>
        <v>0.66148239955482546</v>
      </c>
    </row>
    <row r="24" spans="3:15" x14ac:dyDescent="0.25">
      <c r="C24" s="4">
        <v>2</v>
      </c>
      <c r="D24" s="37">
        <v>3.8</v>
      </c>
      <c r="E24" s="126">
        <f>'curve_rzeta_targetnu_2.5'!M223</f>
        <v>2.4759549972691066</v>
      </c>
      <c r="F24" s="58">
        <f t="shared" ref="F24:F34" si="1">(E24*2)/C24</f>
        <v>2.4759549972691066</v>
      </c>
      <c r="G24" s="120">
        <f t="shared" ref="G24:G34" si="2">SQRT(12*32.2*F24^2/(4*$D$18*($D$17*56)*$D$16^2))</f>
        <v>0.39999052845929095</v>
      </c>
      <c r="H24" s="57">
        <f t="shared" ref="H24:H34" si="3">E24/D24</f>
        <v>0.65156710454450173</v>
      </c>
      <c r="J24" s="1"/>
      <c r="K24" s="61">
        <f t="shared" ref="K24:L34" si="4">D24+$J$22</f>
        <v>6.3</v>
      </c>
      <c r="L24" s="58">
        <f>E24+$J$22</f>
        <v>4.9759549972691062</v>
      </c>
      <c r="M24" s="58">
        <f t="shared" ref="M24:M34" si="5">(L24*2)/C24</f>
        <v>4.9759549972691062</v>
      </c>
      <c r="N24" s="120">
        <f t="shared" ref="N24:N34" si="6">SQRT(12*32.2*M24^2/(4*$D$18*($D$17*56)*$D$16^2))</f>
        <v>0.80386552709665182</v>
      </c>
      <c r="O24" s="57">
        <f t="shared" si="0"/>
        <v>0.78983412655065177</v>
      </c>
    </row>
    <row r="25" spans="3:15" x14ac:dyDescent="0.25">
      <c r="C25" s="4">
        <v>3</v>
      </c>
      <c r="D25" s="66">
        <v>4.8</v>
      </c>
      <c r="E25" s="126">
        <f>'curve_rzeta_targetnu_2.5'!M224</f>
        <v>4.0667560830145071</v>
      </c>
      <c r="F25" s="67">
        <f t="shared" si="1"/>
        <v>2.7111707220096712</v>
      </c>
      <c r="G25" s="121">
        <f t="shared" si="2"/>
        <v>0.43798962866292351</v>
      </c>
      <c r="H25" s="69">
        <f t="shared" si="3"/>
        <v>0.84724085062802235</v>
      </c>
      <c r="J25" s="1"/>
      <c r="K25" s="72">
        <f t="shared" si="4"/>
        <v>7.3</v>
      </c>
      <c r="L25" s="67">
        <f>E25+$J$22</f>
        <v>6.5667560830145071</v>
      </c>
      <c r="M25" s="67">
        <f t="shared" si="5"/>
        <v>4.3778373886763378</v>
      </c>
      <c r="N25" s="121">
        <f t="shared" si="6"/>
        <v>0.70723962775449734</v>
      </c>
      <c r="O25" s="69">
        <f t="shared" si="0"/>
        <v>0.89955562781020648</v>
      </c>
    </row>
    <row r="26" spans="3:15" x14ac:dyDescent="0.25">
      <c r="C26" s="4">
        <v>4</v>
      </c>
      <c r="D26" s="37">
        <v>5.7</v>
      </c>
      <c r="E26" s="126">
        <f>'curve_rzeta_targetnu_2.5'!M225</f>
        <v>5.657557168759908</v>
      </c>
      <c r="F26" s="58">
        <f t="shared" si="1"/>
        <v>2.828778584379954</v>
      </c>
      <c r="G26" s="120">
        <f t="shared" si="2"/>
        <v>0.45698917876473988</v>
      </c>
      <c r="H26" s="57">
        <f t="shared" si="3"/>
        <v>0.9925538892561242</v>
      </c>
      <c r="J26" s="1"/>
      <c r="K26" s="61">
        <f t="shared" si="4"/>
        <v>8.1999999999999993</v>
      </c>
      <c r="L26" s="58">
        <f t="shared" si="4"/>
        <v>8.157557168759908</v>
      </c>
      <c r="M26" s="58">
        <f t="shared" si="5"/>
        <v>4.078778584379954</v>
      </c>
      <c r="N26" s="120">
        <f t="shared" si="6"/>
        <v>0.65892667808342031</v>
      </c>
      <c r="O26" s="57">
        <f t="shared" si="0"/>
        <v>0.99482404497072052</v>
      </c>
    </row>
    <row r="27" spans="3:15" x14ac:dyDescent="0.25">
      <c r="C27" s="4">
        <v>5</v>
      </c>
      <c r="D27" s="37">
        <v>6.5</v>
      </c>
      <c r="E27" s="126">
        <f>'curve_rzeta_targetnu_2.5'!M226</f>
        <v>7.4278649918073194</v>
      </c>
      <c r="F27" s="58">
        <f t="shared" si="1"/>
        <v>2.9711459967229277</v>
      </c>
      <c r="G27" s="120">
        <f t="shared" si="2"/>
        <v>0.47998863415114912</v>
      </c>
      <c r="H27" s="57">
        <f t="shared" si="3"/>
        <v>1.1427484602780491</v>
      </c>
      <c r="J27" s="1"/>
      <c r="K27" s="61">
        <f t="shared" si="4"/>
        <v>9</v>
      </c>
      <c r="L27" s="58">
        <f t="shared" si="4"/>
        <v>9.9278649918073185</v>
      </c>
      <c r="M27" s="58">
        <f t="shared" si="5"/>
        <v>3.9711459967229272</v>
      </c>
      <c r="N27" s="120">
        <f t="shared" si="6"/>
        <v>0.64153863360609331</v>
      </c>
      <c r="O27" s="57">
        <f t="shared" si="0"/>
        <v>1.1030961102008132</v>
      </c>
    </row>
    <row r="28" spans="3:15" x14ac:dyDescent="0.25">
      <c r="C28" s="4">
        <v>10</v>
      </c>
      <c r="D28" s="66">
        <v>9.1</v>
      </c>
      <c r="E28" s="126">
        <f>'curve_rzeta_targetnu_2.5'!M227</f>
        <v>16.372252419441967</v>
      </c>
      <c r="F28" s="67">
        <f t="shared" si="1"/>
        <v>3.2744504838883932</v>
      </c>
      <c r="G28" s="121">
        <f t="shared" si="2"/>
        <v>0.52898747388741219</v>
      </c>
      <c r="H28" s="69">
        <f t="shared" si="3"/>
        <v>1.7991486175210953</v>
      </c>
      <c r="J28" s="1"/>
      <c r="K28" s="72">
        <f t="shared" si="4"/>
        <v>11.6</v>
      </c>
      <c r="L28" s="67">
        <f t="shared" si="4"/>
        <v>18.872252419441967</v>
      </c>
      <c r="M28" s="67">
        <f t="shared" si="5"/>
        <v>3.7744504838883932</v>
      </c>
      <c r="N28" s="121">
        <f t="shared" si="6"/>
        <v>0.60976247361488434</v>
      </c>
      <c r="O28" s="69">
        <f t="shared" si="0"/>
        <v>1.6269183120208592</v>
      </c>
    </row>
    <row r="29" spans="3:15" x14ac:dyDescent="0.25">
      <c r="C29" s="4">
        <v>20</v>
      </c>
      <c r="D29" s="37">
        <v>13.3</v>
      </c>
      <c r="E29" s="126">
        <f>'curve_rzeta_targetnu_2.5'!M228</f>
        <v>34.663369961767501</v>
      </c>
      <c r="F29" s="58">
        <f t="shared" si="1"/>
        <v>3.4663369961767501</v>
      </c>
      <c r="G29" s="120">
        <f t="shared" si="2"/>
        <v>0.5599867398430074</v>
      </c>
      <c r="H29" s="57">
        <f t="shared" si="3"/>
        <v>2.6062684181780074</v>
      </c>
      <c r="J29" s="1"/>
      <c r="K29" s="61">
        <f t="shared" si="4"/>
        <v>15.8</v>
      </c>
      <c r="L29" s="58">
        <f t="shared" si="4"/>
        <v>37.163369961767501</v>
      </c>
      <c r="M29" s="58">
        <f t="shared" si="5"/>
        <v>3.7163369961767501</v>
      </c>
      <c r="N29" s="120">
        <f t="shared" si="6"/>
        <v>0.60037423970674353</v>
      </c>
      <c r="O29" s="57">
        <f t="shared" si="0"/>
        <v>2.352112022896677</v>
      </c>
    </row>
    <row r="30" spans="3:15" x14ac:dyDescent="0.25">
      <c r="C30" s="4">
        <v>30</v>
      </c>
      <c r="D30" s="37">
        <v>17.7</v>
      </c>
      <c r="E30" s="126">
        <f>'curve_rzeta_targetnu_2.5'!M229</f>
        <v>53.202083003819922</v>
      </c>
      <c r="F30" s="58">
        <f t="shared" si="1"/>
        <v>3.5468055335879947</v>
      </c>
      <c r="G30" s="120">
        <f t="shared" si="2"/>
        <v>0.5729864320179342</v>
      </c>
      <c r="H30" s="57">
        <f t="shared" si="3"/>
        <v>3.0057674013457585</v>
      </c>
      <c r="J30" s="1"/>
      <c r="K30" s="61">
        <f t="shared" si="4"/>
        <v>20.2</v>
      </c>
      <c r="L30" s="58">
        <f t="shared" si="4"/>
        <v>55.702083003819922</v>
      </c>
      <c r="M30" s="58">
        <f t="shared" si="5"/>
        <v>3.7134722002546616</v>
      </c>
      <c r="N30" s="120">
        <f t="shared" si="6"/>
        <v>0.59991143192709162</v>
      </c>
      <c r="O30" s="57">
        <f t="shared" si="0"/>
        <v>2.7575288615752438</v>
      </c>
    </row>
    <row r="31" spans="3:15" x14ac:dyDescent="0.25">
      <c r="C31" s="4">
        <v>40</v>
      </c>
      <c r="D31" s="37">
        <v>22.1</v>
      </c>
      <c r="E31" s="126">
        <f>'curve_rzeta_targetnu_2.5'!M230</f>
        <v>71.8026949208041</v>
      </c>
      <c r="F31" s="58">
        <f t="shared" si="1"/>
        <v>3.5901347460402051</v>
      </c>
      <c r="G31" s="120">
        <f t="shared" si="2"/>
        <v>0.57998626626597194</v>
      </c>
      <c r="H31" s="57">
        <f t="shared" si="3"/>
        <v>3.2489907203983752</v>
      </c>
      <c r="J31" s="1"/>
      <c r="K31" s="61">
        <f t="shared" si="4"/>
        <v>24.6</v>
      </c>
      <c r="L31" s="58">
        <f t="shared" si="4"/>
        <v>74.3026949208041</v>
      </c>
      <c r="M31" s="58">
        <f t="shared" si="5"/>
        <v>3.7151347460402051</v>
      </c>
      <c r="N31" s="120">
        <f t="shared" si="6"/>
        <v>0.60018001619784</v>
      </c>
      <c r="O31" s="57">
        <f t="shared" si="0"/>
        <v>3.0204347528782152</v>
      </c>
    </row>
    <row r="32" spans="3:15" x14ac:dyDescent="0.25">
      <c r="C32" s="4">
        <v>50</v>
      </c>
      <c r="D32" s="37">
        <v>26.5</v>
      </c>
      <c r="E32" s="126">
        <f>'curve_rzeta_targetnu_2.5'!M231</f>
        <v>90.372357400322372</v>
      </c>
      <c r="F32" s="58">
        <f t="shared" si="1"/>
        <v>3.6148942960128947</v>
      </c>
      <c r="G32" s="120">
        <f t="shared" si="2"/>
        <v>0.58398617155056465</v>
      </c>
      <c r="H32" s="57">
        <f t="shared" si="3"/>
        <v>3.4102776377480142</v>
      </c>
      <c r="J32" s="1"/>
      <c r="K32" s="61">
        <f t="shared" si="4"/>
        <v>29</v>
      </c>
      <c r="L32" s="58">
        <f t="shared" si="4"/>
        <v>92.872357400322372</v>
      </c>
      <c r="M32" s="58">
        <f t="shared" si="5"/>
        <v>3.7148942960128948</v>
      </c>
      <c r="N32" s="120">
        <f t="shared" si="6"/>
        <v>0.60014117149605906</v>
      </c>
      <c r="O32" s="57">
        <f t="shared" si="0"/>
        <v>3.2024950827697372</v>
      </c>
    </row>
    <row r="33" spans="1:17" x14ac:dyDescent="0.25">
      <c r="C33" s="4">
        <v>60</v>
      </c>
      <c r="D33" s="37">
        <v>30.9</v>
      </c>
      <c r="E33" s="126">
        <f>'curve_rzeta_targetnu_2.5'!M232</f>
        <v>109.00391875477241</v>
      </c>
      <c r="F33" s="58">
        <f t="shared" si="1"/>
        <v>3.6334639584924138</v>
      </c>
      <c r="G33" s="120">
        <f t="shared" si="2"/>
        <v>0.58698610051400946</v>
      </c>
      <c r="H33" s="57">
        <f t="shared" si="3"/>
        <v>3.5276349111576835</v>
      </c>
      <c r="J33" s="1"/>
      <c r="K33" s="61">
        <f t="shared" si="4"/>
        <v>33.4</v>
      </c>
      <c r="L33" s="58">
        <f t="shared" si="4"/>
        <v>111.50391875477241</v>
      </c>
      <c r="M33" s="58">
        <f t="shared" si="5"/>
        <v>3.7167972918257473</v>
      </c>
      <c r="N33" s="120">
        <f t="shared" si="6"/>
        <v>0.60044860046858817</v>
      </c>
      <c r="O33" s="57">
        <f t="shared" si="0"/>
        <v>3.3384406812806113</v>
      </c>
    </row>
    <row r="34" spans="1:17" x14ac:dyDescent="0.25">
      <c r="C34" s="4">
        <v>70</v>
      </c>
      <c r="D34" s="66">
        <v>35.200000000000003</v>
      </c>
      <c r="E34" s="126">
        <f>'curve_rzeta_targetnu_2.5'!M233</f>
        <v>127.43121382194772</v>
      </c>
      <c r="F34" s="67">
        <f t="shared" si="1"/>
        <v>3.6408918234842207</v>
      </c>
      <c r="G34" s="121">
        <f t="shared" si="2"/>
        <v>0.58818607209938722</v>
      </c>
      <c r="H34" s="69">
        <f t="shared" si="3"/>
        <v>3.6202049381235146</v>
      </c>
      <c r="J34" s="1"/>
      <c r="K34" s="72">
        <f t="shared" si="4"/>
        <v>37.700000000000003</v>
      </c>
      <c r="L34" s="67">
        <f t="shared" si="4"/>
        <v>129.93121382194772</v>
      </c>
      <c r="M34" s="67">
        <f t="shared" si="5"/>
        <v>3.7123203949127919</v>
      </c>
      <c r="N34" s="121">
        <f t="shared" si="6"/>
        <v>0.59972535777474034</v>
      </c>
      <c r="O34" s="69">
        <f t="shared" si="0"/>
        <v>3.4464512950118755</v>
      </c>
    </row>
    <row r="36" spans="1:17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8" spans="1:17" ht="15.75" x14ac:dyDescent="0.25">
      <c r="B38" t="s">
        <v>139</v>
      </c>
      <c r="J38" t="s">
        <v>140</v>
      </c>
      <c r="K38" s="189"/>
    </row>
    <row r="39" spans="1:17" ht="15.75" x14ac:dyDescent="0.25">
      <c r="D39" s="70">
        <v>0.9</v>
      </c>
      <c r="E39" t="s">
        <v>55</v>
      </c>
      <c r="K39" s="189"/>
    </row>
    <row r="40" spans="1:17" x14ac:dyDescent="0.25">
      <c r="D40" s="70">
        <v>0.96</v>
      </c>
      <c r="E40" t="s">
        <v>54</v>
      </c>
    </row>
    <row r="41" spans="1:17" x14ac:dyDescent="0.25">
      <c r="D41" s="70">
        <v>85</v>
      </c>
      <c r="E41" t="s">
        <v>53</v>
      </c>
    </row>
    <row r="42" spans="1:17" x14ac:dyDescent="0.25">
      <c r="D42" s="78" t="s">
        <v>61</v>
      </c>
      <c r="E42" s="20" t="s">
        <v>69</v>
      </c>
    </row>
    <row r="44" spans="1:17" x14ac:dyDescent="0.25">
      <c r="C44" s="4"/>
      <c r="D44" s="4" t="s">
        <v>48</v>
      </c>
      <c r="E44" s="4" t="s">
        <v>49</v>
      </c>
      <c r="F44" s="4" t="s">
        <v>56</v>
      </c>
      <c r="G44" s="60" t="s">
        <v>10</v>
      </c>
      <c r="H44" s="4" t="s">
        <v>50</v>
      </c>
      <c r="J44" s="4" t="s">
        <v>51</v>
      </c>
      <c r="K44" s="4" t="s">
        <v>48</v>
      </c>
      <c r="L44" s="4" t="s">
        <v>49</v>
      </c>
      <c r="M44" s="4" t="s">
        <v>56</v>
      </c>
      <c r="N44" s="60" t="s">
        <v>10</v>
      </c>
      <c r="O44" s="4" t="s">
        <v>50</v>
      </c>
    </row>
    <row r="45" spans="1:17" x14ac:dyDescent="0.25">
      <c r="C45" s="4" t="s">
        <v>9</v>
      </c>
      <c r="D45" s="4" t="s">
        <v>52</v>
      </c>
      <c r="E45" s="4" t="s">
        <v>52</v>
      </c>
      <c r="F45" s="4" t="s">
        <v>57</v>
      </c>
      <c r="G45" s="4"/>
      <c r="H45" s="4"/>
      <c r="J45" s="56">
        <v>2</v>
      </c>
      <c r="K45" s="4" t="s">
        <v>52</v>
      </c>
      <c r="L45" s="4" t="s">
        <v>52</v>
      </c>
      <c r="M45" s="4" t="s">
        <v>57</v>
      </c>
      <c r="N45" s="4"/>
      <c r="O45" s="4"/>
    </row>
    <row r="46" spans="1:17" x14ac:dyDescent="0.25">
      <c r="C46" s="4">
        <v>1</v>
      </c>
      <c r="D46" s="62">
        <v>2.8</v>
      </c>
      <c r="E46" s="62">
        <v>0.9</v>
      </c>
      <c r="F46" s="63">
        <f>(E46*2)/C46</f>
        <v>1.8</v>
      </c>
      <c r="G46" s="64">
        <f>SQRT(12*32.2*F46^2/(4*$D$41*($D$40*56)*$D$39^2))</f>
        <v>0.29078999901889985</v>
      </c>
      <c r="H46" s="65">
        <f>E46/D46</f>
        <v>0.32142857142857145</v>
      </c>
      <c r="J46" s="1"/>
      <c r="K46" s="71">
        <f>D46+$J$45</f>
        <v>4.8</v>
      </c>
      <c r="L46" s="71">
        <f>E46+$J$45</f>
        <v>2.9</v>
      </c>
      <c r="M46" s="63">
        <f>(L46*2)/C46</f>
        <v>5.8</v>
      </c>
      <c r="N46" s="64">
        <f>SQRT(12*32.2*M46^2/(4*$D$41*($D$40*56)*$D$39^2))</f>
        <v>0.93698999683867723</v>
      </c>
      <c r="O46" s="65">
        <f t="shared" ref="O46:O57" si="7">L46/K46</f>
        <v>0.60416666666666663</v>
      </c>
    </row>
    <row r="47" spans="1:17" x14ac:dyDescent="0.25">
      <c r="C47" s="4">
        <v>2</v>
      </c>
      <c r="D47" s="37">
        <v>3.8</v>
      </c>
      <c r="E47" s="37">
        <v>2.2000000000000002</v>
      </c>
      <c r="F47" s="58">
        <f t="shared" ref="F47:F57" si="8">(E47*2)/C47</f>
        <v>2.2000000000000002</v>
      </c>
      <c r="G47" s="59">
        <f t="shared" ref="G47:G57" si="9">SQRT(12*32.2*F47^2/(4*$D$41*($D$40*56)*$D$39^2))</f>
        <v>0.35540999880087765</v>
      </c>
      <c r="H47" s="57">
        <f t="shared" ref="H47:H57" si="10">E47/D47</f>
        <v>0.57894736842105265</v>
      </c>
      <c r="J47" s="1"/>
      <c r="K47" s="61">
        <f t="shared" ref="K47:L57" si="11">D47+$J$45</f>
        <v>5.8</v>
      </c>
      <c r="L47" s="61">
        <f t="shared" si="11"/>
        <v>4.2</v>
      </c>
      <c r="M47" s="58">
        <f t="shared" ref="M47:M57" si="12">(L47*2)/C47</f>
        <v>4.2</v>
      </c>
      <c r="N47" s="59">
        <f t="shared" ref="N47:N57" si="13">SQRT(12*32.2*M47^2/(4*$D$41*($D$40*56)*$D$39^2))</f>
        <v>0.67850999771076637</v>
      </c>
      <c r="O47" s="57">
        <f t="shared" si="7"/>
        <v>0.72413793103448276</v>
      </c>
    </row>
    <row r="48" spans="1:17" x14ac:dyDescent="0.25">
      <c r="C48" s="4">
        <v>3</v>
      </c>
      <c r="D48" s="66">
        <v>4.8</v>
      </c>
      <c r="E48" s="66">
        <v>3.8</v>
      </c>
      <c r="F48" s="67">
        <f t="shared" si="8"/>
        <v>2.5333333333333332</v>
      </c>
      <c r="G48" s="68">
        <f t="shared" si="9"/>
        <v>0.40925999861919238</v>
      </c>
      <c r="H48" s="69">
        <f t="shared" si="10"/>
        <v>0.79166666666666663</v>
      </c>
      <c r="J48" s="1"/>
      <c r="K48" s="72">
        <f t="shared" si="11"/>
        <v>6.8</v>
      </c>
      <c r="L48" s="72">
        <f t="shared" si="11"/>
        <v>5.8</v>
      </c>
      <c r="M48" s="67">
        <f t="shared" si="12"/>
        <v>3.8666666666666667</v>
      </c>
      <c r="N48" s="68">
        <f t="shared" si="13"/>
        <v>0.62465999789245152</v>
      </c>
      <c r="O48" s="69">
        <f t="shared" si="7"/>
        <v>0.8529411764705882</v>
      </c>
    </row>
    <row r="49" spans="3:15" x14ac:dyDescent="0.25">
      <c r="C49" s="4">
        <v>4</v>
      </c>
      <c r="D49" s="37">
        <v>5.7</v>
      </c>
      <c r="E49" s="37">
        <v>5.8</v>
      </c>
      <c r="F49" s="58">
        <f t="shared" si="8"/>
        <v>2.9</v>
      </c>
      <c r="G49" s="59">
        <f t="shared" si="9"/>
        <v>0.46849499841933862</v>
      </c>
      <c r="H49" s="57">
        <f t="shared" si="10"/>
        <v>1.0175438596491226</v>
      </c>
      <c r="J49" s="1"/>
      <c r="K49" s="61">
        <f t="shared" si="11"/>
        <v>7.7</v>
      </c>
      <c r="L49" s="61">
        <f t="shared" si="11"/>
        <v>7.8</v>
      </c>
      <c r="M49" s="58">
        <f t="shared" si="12"/>
        <v>3.9</v>
      </c>
      <c r="N49" s="59">
        <f t="shared" si="13"/>
        <v>0.63004499787428303</v>
      </c>
      <c r="O49" s="57">
        <f t="shared" si="7"/>
        <v>1.0129870129870129</v>
      </c>
    </row>
    <row r="50" spans="3:15" x14ac:dyDescent="0.25">
      <c r="C50" s="4">
        <v>5</v>
      </c>
      <c r="D50" s="37">
        <v>6.5</v>
      </c>
      <c r="E50" s="37">
        <v>8</v>
      </c>
      <c r="F50" s="58">
        <f t="shared" si="8"/>
        <v>3.2</v>
      </c>
      <c r="G50" s="59">
        <f t="shared" si="9"/>
        <v>0.51695999825582206</v>
      </c>
      <c r="H50" s="57">
        <f t="shared" si="10"/>
        <v>1.2307692307692308</v>
      </c>
      <c r="J50" s="1"/>
      <c r="K50" s="61">
        <f t="shared" si="11"/>
        <v>8.5</v>
      </c>
      <c r="L50" s="61">
        <f t="shared" si="11"/>
        <v>10</v>
      </c>
      <c r="M50" s="58">
        <f t="shared" si="12"/>
        <v>4</v>
      </c>
      <c r="N50" s="59">
        <f t="shared" si="13"/>
        <v>0.64619999781977744</v>
      </c>
      <c r="O50" s="57">
        <f t="shared" si="7"/>
        <v>1.1764705882352942</v>
      </c>
    </row>
    <row r="51" spans="3:15" x14ac:dyDescent="0.25">
      <c r="C51" s="4">
        <v>10</v>
      </c>
      <c r="D51" s="66">
        <v>9.1</v>
      </c>
      <c r="E51" s="66">
        <v>18</v>
      </c>
      <c r="F51" s="67">
        <f t="shared" si="8"/>
        <v>3.6</v>
      </c>
      <c r="G51" s="68">
        <f t="shared" si="9"/>
        <v>0.58157999803779969</v>
      </c>
      <c r="H51" s="69">
        <f t="shared" si="10"/>
        <v>1.9780219780219781</v>
      </c>
      <c r="J51" s="1"/>
      <c r="K51" s="72">
        <f t="shared" si="11"/>
        <v>11.1</v>
      </c>
      <c r="L51" s="72">
        <f t="shared" si="11"/>
        <v>20</v>
      </c>
      <c r="M51" s="67">
        <f t="shared" si="12"/>
        <v>4</v>
      </c>
      <c r="N51" s="68">
        <f t="shared" si="13"/>
        <v>0.64619999781977744</v>
      </c>
      <c r="O51" s="69">
        <f t="shared" si="7"/>
        <v>1.8018018018018018</v>
      </c>
    </row>
    <row r="52" spans="3:15" x14ac:dyDescent="0.25">
      <c r="C52" s="4">
        <v>20</v>
      </c>
      <c r="D52" s="37">
        <v>13.3</v>
      </c>
      <c r="E52" s="37">
        <v>38.4</v>
      </c>
      <c r="F52" s="58">
        <f t="shared" si="8"/>
        <v>3.84</v>
      </c>
      <c r="G52" s="59">
        <f t="shared" si="9"/>
        <v>0.62035199790698636</v>
      </c>
      <c r="H52" s="57">
        <f t="shared" si="10"/>
        <v>2.8872180451127818</v>
      </c>
      <c r="J52" s="1"/>
      <c r="K52" s="61">
        <f t="shared" si="11"/>
        <v>15.3</v>
      </c>
      <c r="L52" s="61">
        <f t="shared" si="11"/>
        <v>40.4</v>
      </c>
      <c r="M52" s="58">
        <f t="shared" si="12"/>
        <v>4.04</v>
      </c>
      <c r="N52" s="59">
        <f t="shared" si="13"/>
        <v>0.65266199779797518</v>
      </c>
      <c r="O52" s="57">
        <f t="shared" si="7"/>
        <v>2.6405228758169934</v>
      </c>
    </row>
    <row r="53" spans="3:15" x14ac:dyDescent="0.25">
      <c r="C53" s="4">
        <v>30</v>
      </c>
      <c r="D53" s="37">
        <v>17.7</v>
      </c>
      <c r="E53" s="37">
        <v>59.1</v>
      </c>
      <c r="F53" s="58">
        <f t="shared" si="8"/>
        <v>3.94</v>
      </c>
      <c r="G53" s="59">
        <f t="shared" si="9"/>
        <v>0.63650699785248077</v>
      </c>
      <c r="H53" s="57">
        <f t="shared" si="10"/>
        <v>3.3389830508474581</v>
      </c>
      <c r="J53" s="1"/>
      <c r="K53" s="61">
        <f t="shared" si="11"/>
        <v>19.7</v>
      </c>
      <c r="L53" s="61">
        <f t="shared" si="11"/>
        <v>61.1</v>
      </c>
      <c r="M53" s="58">
        <f t="shared" si="12"/>
        <v>4.0733333333333333</v>
      </c>
      <c r="N53" s="59">
        <f t="shared" si="13"/>
        <v>0.65804699777980669</v>
      </c>
      <c r="O53" s="57">
        <f t="shared" si="7"/>
        <v>3.1015228426395942</v>
      </c>
    </row>
    <row r="54" spans="3:15" x14ac:dyDescent="0.25">
      <c r="C54" s="4">
        <v>40</v>
      </c>
      <c r="D54" s="37">
        <v>22.1</v>
      </c>
      <c r="E54" s="37">
        <v>80.8</v>
      </c>
      <c r="F54" s="58">
        <f t="shared" si="8"/>
        <v>4.04</v>
      </c>
      <c r="G54" s="59">
        <f t="shared" si="9"/>
        <v>0.65266199779797518</v>
      </c>
      <c r="H54" s="57">
        <f t="shared" si="10"/>
        <v>3.6561085972850673</v>
      </c>
      <c r="J54" s="1"/>
      <c r="K54" s="61">
        <f t="shared" si="11"/>
        <v>24.1</v>
      </c>
      <c r="L54" s="61">
        <f t="shared" si="11"/>
        <v>82.8</v>
      </c>
      <c r="M54" s="58">
        <f t="shared" si="12"/>
        <v>4.1399999999999997</v>
      </c>
      <c r="N54" s="59">
        <f t="shared" si="13"/>
        <v>0.66881699774346959</v>
      </c>
      <c r="O54" s="57">
        <f t="shared" si="7"/>
        <v>3.4356846473029043</v>
      </c>
    </row>
    <row r="55" spans="3:15" x14ac:dyDescent="0.25">
      <c r="C55" s="4">
        <v>50</v>
      </c>
      <c r="D55" s="37">
        <v>26.5</v>
      </c>
      <c r="E55" s="37">
        <v>103.4</v>
      </c>
      <c r="F55" s="58">
        <f t="shared" si="8"/>
        <v>4.1360000000000001</v>
      </c>
      <c r="G55" s="59">
        <f t="shared" si="9"/>
        <v>0.66817079774564991</v>
      </c>
      <c r="H55" s="57">
        <f t="shared" si="10"/>
        <v>3.9018867924528302</v>
      </c>
      <c r="J55" s="1"/>
      <c r="K55" s="61">
        <f t="shared" si="11"/>
        <v>28.5</v>
      </c>
      <c r="L55" s="61">
        <f t="shared" si="11"/>
        <v>105.4</v>
      </c>
      <c r="M55" s="58">
        <f t="shared" si="12"/>
        <v>4.2160000000000002</v>
      </c>
      <c r="N55" s="59">
        <f t="shared" si="13"/>
        <v>0.6810947977020454</v>
      </c>
      <c r="O55" s="57">
        <f t="shared" si="7"/>
        <v>3.6982456140350881</v>
      </c>
    </row>
    <row r="56" spans="3:15" x14ac:dyDescent="0.25">
      <c r="C56" s="4">
        <v>60</v>
      </c>
      <c r="D56" s="37">
        <v>30.9</v>
      </c>
      <c r="E56" s="37">
        <v>127.1</v>
      </c>
      <c r="F56" s="58">
        <f t="shared" si="8"/>
        <v>4.2366666666666664</v>
      </c>
      <c r="G56" s="59">
        <f t="shared" si="9"/>
        <v>0.68443349769078088</v>
      </c>
      <c r="H56" s="57">
        <f t="shared" si="10"/>
        <v>4.1132686084142396</v>
      </c>
      <c r="J56" s="1"/>
      <c r="K56" s="61">
        <f t="shared" si="11"/>
        <v>32.9</v>
      </c>
      <c r="L56" s="61">
        <f t="shared" si="11"/>
        <v>129.1</v>
      </c>
      <c r="M56" s="58">
        <f t="shared" si="12"/>
        <v>4.3033333333333328</v>
      </c>
      <c r="N56" s="59">
        <f t="shared" si="13"/>
        <v>0.69520349765444378</v>
      </c>
      <c r="O56" s="57">
        <f t="shared" si="7"/>
        <v>3.9240121580547114</v>
      </c>
    </row>
    <row r="57" spans="3:15" x14ac:dyDescent="0.25">
      <c r="C57" s="4">
        <v>70</v>
      </c>
      <c r="D57" s="66">
        <v>35.200000000000003</v>
      </c>
      <c r="E57" s="66">
        <v>151.5</v>
      </c>
      <c r="F57" s="67">
        <f t="shared" si="8"/>
        <v>4.3285714285714283</v>
      </c>
      <c r="G57" s="68">
        <f t="shared" si="9"/>
        <v>0.69928071192640195</v>
      </c>
      <c r="H57" s="69">
        <f t="shared" si="10"/>
        <v>4.3039772727272725</v>
      </c>
      <c r="J57" s="1"/>
      <c r="K57" s="72">
        <f t="shared" si="11"/>
        <v>37.200000000000003</v>
      </c>
      <c r="L57" s="72">
        <f t="shared" si="11"/>
        <v>153.5</v>
      </c>
      <c r="M57" s="67">
        <f t="shared" si="12"/>
        <v>4.3857142857142861</v>
      </c>
      <c r="N57" s="68">
        <f t="shared" si="13"/>
        <v>0.70851214046668465</v>
      </c>
      <c r="O57" s="69">
        <f t="shared" si="7"/>
        <v>4.126344086021505</v>
      </c>
    </row>
    <row r="86" spans="1:1" x14ac:dyDescent="0.25">
      <c r="A86" t="s">
        <v>138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transitionEntry="1">
    <pageSetUpPr fitToPage="1"/>
  </sheetPr>
  <dimension ref="A2:Q78"/>
  <sheetViews>
    <sheetView showGridLines="0" zoomScale="90" zoomScaleNormal="90" workbookViewId="0"/>
  </sheetViews>
  <sheetFormatPr defaultRowHeight="15" x14ac:dyDescent="0.25"/>
  <cols>
    <col min="4" max="4" width="9.140625" customWidth="1"/>
    <col min="5" max="5" width="9.28515625" customWidth="1"/>
  </cols>
  <sheetData>
    <row r="2" spans="1:17" x14ac:dyDescent="0.25">
      <c r="A2" t="s">
        <v>0</v>
      </c>
      <c r="I2" s="187" t="s">
        <v>127</v>
      </c>
    </row>
    <row r="3" spans="1:17" x14ac:dyDescent="0.25">
      <c r="A3" t="s">
        <v>1</v>
      </c>
    </row>
    <row r="4" spans="1:17" x14ac:dyDescent="0.25">
      <c r="A4" t="s">
        <v>2</v>
      </c>
    </row>
    <row r="6" spans="1:17" x14ac:dyDescent="0.25">
      <c r="B6" s="2" t="s">
        <v>3</v>
      </c>
      <c r="C6" t="s">
        <v>5</v>
      </c>
    </row>
    <row r="7" spans="1:17" x14ac:dyDescent="0.25">
      <c r="B7" s="2" t="s">
        <v>21</v>
      </c>
      <c r="C7" t="s">
        <v>6</v>
      </c>
    </row>
    <row r="8" spans="1:17" x14ac:dyDescent="0.25">
      <c r="B8" s="2" t="s">
        <v>4</v>
      </c>
      <c r="C8" t="s">
        <v>7</v>
      </c>
    </row>
    <row r="9" spans="1:17" x14ac:dyDescent="0.25">
      <c r="B9" s="3" t="s">
        <v>8</v>
      </c>
    </row>
    <row r="10" spans="1:17" x14ac:dyDescent="0.25">
      <c r="D10" s="3"/>
    </row>
    <row r="11" spans="1:17" x14ac:dyDescent="0.25">
      <c r="D11" s="15"/>
      <c r="E11" s="1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x14ac:dyDescent="0.25">
      <c r="E12" s="3"/>
    </row>
    <row r="13" spans="1:17" x14ac:dyDescent="0.25">
      <c r="E13" s="3"/>
      <c r="F13" s="18" t="s">
        <v>16</v>
      </c>
    </row>
    <row r="14" spans="1:17" x14ac:dyDescent="0.25">
      <c r="E14" s="3"/>
      <c r="F14" s="19" t="s">
        <v>17</v>
      </c>
    </row>
    <row r="15" spans="1:17" x14ac:dyDescent="0.25">
      <c r="E15" s="3"/>
      <c r="F15" s="19" t="s">
        <v>19</v>
      </c>
    </row>
    <row r="16" spans="1:17" x14ac:dyDescent="0.25">
      <c r="E16" s="3"/>
      <c r="F16" s="19" t="s">
        <v>20</v>
      </c>
    </row>
    <row r="17" spans="2:12" x14ac:dyDescent="0.25">
      <c r="E17" s="3"/>
      <c r="F17" s="19" t="s">
        <v>18</v>
      </c>
    </row>
    <row r="18" spans="2:12" x14ac:dyDescent="0.25">
      <c r="E18" s="3"/>
    </row>
    <row r="19" spans="2:12" x14ac:dyDescent="0.25">
      <c r="E19" s="3"/>
    </row>
    <row r="20" spans="2:12" x14ac:dyDescent="0.25">
      <c r="E20" s="3"/>
    </row>
    <row r="21" spans="2:12" x14ac:dyDescent="0.25">
      <c r="B21" s="7" t="s">
        <v>11</v>
      </c>
      <c r="C21" s="8">
        <v>0.5</v>
      </c>
      <c r="E21" s="7" t="s">
        <v>11</v>
      </c>
      <c r="F21" s="8">
        <v>0.55000000000000004</v>
      </c>
      <c r="H21" s="7" t="s">
        <v>11</v>
      </c>
      <c r="I21" s="8">
        <v>0.6</v>
      </c>
      <c r="K21" s="7" t="s">
        <v>11</v>
      </c>
      <c r="L21" s="8">
        <v>0.65</v>
      </c>
    </row>
    <row r="22" spans="2:12" x14ac:dyDescent="0.25">
      <c r="B22" s="7" t="s">
        <v>12</v>
      </c>
      <c r="C22" s="8">
        <v>0.7</v>
      </c>
      <c r="E22" s="7" t="s">
        <v>12</v>
      </c>
      <c r="F22" s="8">
        <v>0.7</v>
      </c>
      <c r="H22" s="7" t="s">
        <v>12</v>
      </c>
      <c r="I22" s="8">
        <v>0.7</v>
      </c>
      <c r="K22" s="7" t="s">
        <v>12</v>
      </c>
      <c r="L22" s="8">
        <v>0.7</v>
      </c>
    </row>
    <row r="23" spans="2:12" x14ac:dyDescent="0.25">
      <c r="B23" s="7" t="s">
        <v>13</v>
      </c>
      <c r="C23" s="10">
        <f>(C22-C21)/69</f>
        <v>2.8985507246376803E-3</v>
      </c>
      <c r="E23" s="7" t="s">
        <v>13</v>
      </c>
      <c r="F23" s="10">
        <f>(F22-F21)/69</f>
        <v>2.1739130434782596E-3</v>
      </c>
      <c r="H23" s="7" t="s">
        <v>13</v>
      </c>
      <c r="I23" s="10">
        <f>(I22-I21)/69</f>
        <v>1.4492753623188402E-3</v>
      </c>
      <c r="K23" s="7" t="s">
        <v>13</v>
      </c>
      <c r="L23" s="10">
        <f>(L22-L21)/69</f>
        <v>7.2463768115941932E-4</v>
      </c>
    </row>
    <row r="24" spans="2:12" x14ac:dyDescent="0.25">
      <c r="B24" s="7" t="s">
        <v>14</v>
      </c>
      <c r="C24" s="12">
        <f>C23*5</f>
        <v>1.4492753623188401E-2</v>
      </c>
      <c r="E24" s="7" t="s">
        <v>14</v>
      </c>
      <c r="F24" s="12">
        <f>F23*5</f>
        <v>1.0869565217391297E-2</v>
      </c>
      <c r="H24" s="7" t="s">
        <v>14</v>
      </c>
      <c r="I24" s="12">
        <f>I23*5</f>
        <v>7.2463768115942004E-3</v>
      </c>
      <c r="K24" s="7" t="s">
        <v>14</v>
      </c>
      <c r="L24" s="12">
        <f>L23*5</f>
        <v>3.6231884057970967E-3</v>
      </c>
    </row>
    <row r="25" spans="2:12" x14ac:dyDescent="0.25">
      <c r="B25" s="7" t="s">
        <v>15</v>
      </c>
      <c r="C25" s="12">
        <f>C23*10</f>
        <v>2.8985507246376802E-2</v>
      </c>
      <c r="E25" s="7" t="s">
        <v>15</v>
      </c>
      <c r="F25" s="12">
        <f>F23*10</f>
        <v>2.1739130434782594E-2</v>
      </c>
      <c r="H25" s="7" t="s">
        <v>15</v>
      </c>
      <c r="I25" s="12">
        <f>I23*10</f>
        <v>1.4492753623188401E-2</v>
      </c>
      <c r="K25" s="7" t="s">
        <v>15</v>
      </c>
      <c r="L25" s="12">
        <f>L23*10</f>
        <v>7.2463768115941934E-3</v>
      </c>
    </row>
    <row r="26" spans="2:12" x14ac:dyDescent="0.25">
      <c r="B26" s="4" t="s">
        <v>9</v>
      </c>
      <c r="C26" s="9" t="s">
        <v>10</v>
      </c>
      <c r="E26" s="4" t="s">
        <v>9</v>
      </c>
      <c r="F26" s="9" t="s">
        <v>10</v>
      </c>
      <c r="H26" s="4" t="s">
        <v>9</v>
      </c>
      <c r="I26" s="9" t="s">
        <v>10</v>
      </c>
      <c r="K26" s="4" t="s">
        <v>9</v>
      </c>
      <c r="L26" s="9" t="s">
        <v>10</v>
      </c>
    </row>
    <row r="27" spans="2:12" x14ac:dyDescent="0.25">
      <c r="B27" s="6">
        <v>1</v>
      </c>
      <c r="C27" s="13">
        <f>C21</f>
        <v>0.5</v>
      </c>
      <c r="E27" s="6">
        <v>1</v>
      </c>
      <c r="F27" s="13">
        <f>F21</f>
        <v>0.55000000000000004</v>
      </c>
      <c r="H27" s="6">
        <v>1</v>
      </c>
      <c r="I27" s="13">
        <f>I21</f>
        <v>0.6</v>
      </c>
      <c r="K27" s="6">
        <v>1</v>
      </c>
      <c r="L27" s="13">
        <f>L21</f>
        <v>0.65</v>
      </c>
    </row>
    <row r="28" spans="2:12" x14ac:dyDescent="0.25">
      <c r="B28" s="1">
        <v>2</v>
      </c>
      <c r="C28" s="12">
        <f>C27+C$23</f>
        <v>0.50289855072463763</v>
      </c>
      <c r="E28" s="1">
        <v>2</v>
      </c>
      <c r="F28" s="12">
        <f>F27+F$23</f>
        <v>0.55217391304347829</v>
      </c>
      <c r="H28" s="1">
        <v>2</v>
      </c>
      <c r="I28" s="12">
        <f>I27+I$23</f>
        <v>0.60144927536231885</v>
      </c>
      <c r="K28" s="1">
        <v>2</v>
      </c>
      <c r="L28" s="12">
        <f>L27+L$23</f>
        <v>0.6507246376811594</v>
      </c>
    </row>
    <row r="29" spans="2:12" x14ac:dyDescent="0.25">
      <c r="B29" s="5">
        <v>3</v>
      </c>
      <c r="C29" s="14">
        <f>C28+C$23</f>
        <v>0.50579710144927525</v>
      </c>
      <c r="E29" s="5">
        <v>3</v>
      </c>
      <c r="F29" s="14">
        <f>F28+F$23</f>
        <v>0.55434782608695654</v>
      </c>
      <c r="H29" s="5">
        <v>3</v>
      </c>
      <c r="I29" s="14">
        <f>I28+I$23</f>
        <v>0.60289855072463772</v>
      </c>
      <c r="K29" s="5">
        <v>3</v>
      </c>
      <c r="L29" s="14">
        <f>L28+L$23</f>
        <v>0.65144927536231878</v>
      </c>
    </row>
    <row r="30" spans="2:12" x14ac:dyDescent="0.25">
      <c r="B30" s="1">
        <v>4</v>
      </c>
      <c r="C30" s="12">
        <f>C29+C$23</f>
        <v>0.50869565217391288</v>
      </c>
      <c r="E30" s="1">
        <v>4</v>
      </c>
      <c r="F30" s="12">
        <f>F29+F$23</f>
        <v>0.55652173913043479</v>
      </c>
      <c r="H30" s="1">
        <v>4</v>
      </c>
      <c r="I30" s="12">
        <f>I29+I$23</f>
        <v>0.60434782608695659</v>
      </c>
      <c r="K30" s="1">
        <v>4</v>
      </c>
      <c r="L30" s="12">
        <f>L29+L$23</f>
        <v>0.65217391304347816</v>
      </c>
    </row>
    <row r="31" spans="2:12" x14ac:dyDescent="0.25">
      <c r="B31" s="1">
        <v>5</v>
      </c>
      <c r="C31" s="12">
        <f>C30+C$23</f>
        <v>0.51159420289855051</v>
      </c>
      <c r="E31" s="1">
        <v>5</v>
      </c>
      <c r="F31" s="12">
        <f>F30+F$23</f>
        <v>0.55869565217391304</v>
      </c>
      <c r="H31" s="1">
        <v>5</v>
      </c>
      <c r="I31" s="12">
        <f>I30+I$23</f>
        <v>0.60579710144927545</v>
      </c>
      <c r="K31" s="1">
        <v>5</v>
      </c>
      <c r="L31" s="12">
        <f>L30+L$23</f>
        <v>0.65289855072463754</v>
      </c>
    </row>
    <row r="32" spans="2:12" x14ac:dyDescent="0.25">
      <c r="B32" s="5">
        <v>10</v>
      </c>
      <c r="C32" s="14">
        <f>C31+C$24</f>
        <v>0.52608695652173887</v>
      </c>
      <c r="E32" s="5">
        <v>10</v>
      </c>
      <c r="F32" s="14">
        <f>F31+F$24</f>
        <v>0.56956521739130439</v>
      </c>
      <c r="H32" s="5">
        <v>10</v>
      </c>
      <c r="I32" s="14">
        <f>I31+I$24</f>
        <v>0.61304347826086969</v>
      </c>
      <c r="K32" s="5">
        <v>10</v>
      </c>
      <c r="L32" s="14">
        <f>L31+L$24</f>
        <v>0.65652173913043466</v>
      </c>
    </row>
    <row r="33" spans="2:12" x14ac:dyDescent="0.25">
      <c r="B33" s="1">
        <v>20</v>
      </c>
      <c r="C33" s="12">
        <f t="shared" ref="C33:C38" si="0">C32+C$25</f>
        <v>0.5550724637681157</v>
      </c>
      <c r="E33" s="1">
        <v>20</v>
      </c>
      <c r="F33" s="12">
        <f t="shared" ref="F33:F38" si="1">F32+F$25</f>
        <v>0.59130434782608698</v>
      </c>
      <c r="H33" s="1">
        <v>20</v>
      </c>
      <c r="I33" s="12">
        <f t="shared" ref="I33:I38" si="2">I32+I$25</f>
        <v>0.62753623188405805</v>
      </c>
      <c r="K33" s="1">
        <v>20</v>
      </c>
      <c r="L33" s="12">
        <f t="shared" ref="L33:L38" si="3">L32+L$25</f>
        <v>0.66376811594202889</v>
      </c>
    </row>
    <row r="34" spans="2:12" x14ac:dyDescent="0.25">
      <c r="B34" s="1">
        <v>30</v>
      </c>
      <c r="C34" s="12">
        <f t="shared" si="0"/>
        <v>0.58405797101449253</v>
      </c>
      <c r="E34" s="1">
        <v>30</v>
      </c>
      <c r="F34" s="12">
        <f t="shared" si="1"/>
        <v>0.61304347826086958</v>
      </c>
      <c r="H34" s="1">
        <v>30</v>
      </c>
      <c r="I34" s="12">
        <f t="shared" si="2"/>
        <v>0.64202898550724641</v>
      </c>
      <c r="K34" s="1">
        <v>30</v>
      </c>
      <c r="L34" s="12">
        <f t="shared" si="3"/>
        <v>0.67101449275362313</v>
      </c>
    </row>
    <row r="35" spans="2:12" x14ac:dyDescent="0.25">
      <c r="B35" s="1">
        <v>40</v>
      </c>
      <c r="C35" s="12">
        <f t="shared" si="0"/>
        <v>0.61304347826086936</v>
      </c>
      <c r="E35" s="1">
        <v>40</v>
      </c>
      <c r="F35" s="12">
        <f t="shared" si="1"/>
        <v>0.63478260869565217</v>
      </c>
      <c r="H35" s="1">
        <v>40</v>
      </c>
      <c r="I35" s="12">
        <f t="shared" si="2"/>
        <v>0.65652173913043477</v>
      </c>
      <c r="K35" s="1">
        <v>40</v>
      </c>
      <c r="L35" s="12">
        <f t="shared" si="3"/>
        <v>0.67826086956521736</v>
      </c>
    </row>
    <row r="36" spans="2:12" x14ac:dyDescent="0.25">
      <c r="B36" s="1">
        <v>50</v>
      </c>
      <c r="C36" s="12">
        <f t="shared" si="0"/>
        <v>0.64202898550724619</v>
      </c>
      <c r="E36" s="1">
        <v>50</v>
      </c>
      <c r="F36" s="12">
        <f t="shared" si="1"/>
        <v>0.65652173913043477</v>
      </c>
      <c r="H36" s="1">
        <v>50</v>
      </c>
      <c r="I36" s="12">
        <f t="shared" si="2"/>
        <v>0.67101449275362313</v>
      </c>
      <c r="K36" s="1">
        <v>50</v>
      </c>
      <c r="L36" s="12">
        <f t="shared" si="3"/>
        <v>0.6855072463768116</v>
      </c>
    </row>
    <row r="37" spans="2:12" x14ac:dyDescent="0.25">
      <c r="B37" s="1">
        <v>60</v>
      </c>
      <c r="C37" s="12">
        <f t="shared" si="0"/>
        <v>0.67101449275362302</v>
      </c>
      <c r="E37" s="1">
        <v>60</v>
      </c>
      <c r="F37" s="12">
        <f t="shared" si="1"/>
        <v>0.67826086956521736</v>
      </c>
      <c r="H37" s="1">
        <v>60</v>
      </c>
      <c r="I37" s="12">
        <f t="shared" si="2"/>
        <v>0.68550724637681149</v>
      </c>
      <c r="K37" s="1">
        <v>60</v>
      </c>
      <c r="L37" s="12">
        <f t="shared" si="3"/>
        <v>0.69275362318840583</v>
      </c>
    </row>
    <row r="38" spans="2:12" x14ac:dyDescent="0.25">
      <c r="B38" s="5">
        <v>70</v>
      </c>
      <c r="C38" s="14">
        <f t="shared" si="0"/>
        <v>0.69999999999999984</v>
      </c>
      <c r="E38" s="5">
        <v>70</v>
      </c>
      <c r="F38" s="14">
        <f t="shared" si="1"/>
        <v>0.7</v>
      </c>
      <c r="H38" s="5">
        <v>70</v>
      </c>
      <c r="I38" s="14">
        <f t="shared" si="2"/>
        <v>0.69999999999999984</v>
      </c>
      <c r="K38" s="5">
        <v>70</v>
      </c>
      <c r="L38" s="14">
        <f t="shared" si="3"/>
        <v>0.70000000000000007</v>
      </c>
    </row>
    <row r="39" spans="2:12" x14ac:dyDescent="0.25">
      <c r="D39" s="1"/>
      <c r="E39" s="11"/>
    </row>
    <row r="40" spans="2:12" x14ac:dyDescent="0.25">
      <c r="E40" s="1"/>
      <c r="F40" s="11"/>
      <c r="H40" s="17"/>
    </row>
    <row r="41" spans="2:12" x14ac:dyDescent="0.25">
      <c r="B41" s="7" t="s">
        <v>11</v>
      </c>
      <c r="C41" s="8">
        <v>0.5</v>
      </c>
      <c r="E41" s="7" t="s">
        <v>11</v>
      </c>
      <c r="F41" s="8">
        <v>0.55000000000000004</v>
      </c>
      <c r="H41" s="7" t="s">
        <v>11</v>
      </c>
      <c r="I41" s="8">
        <v>0.6</v>
      </c>
    </row>
    <row r="42" spans="2:12" x14ac:dyDescent="0.25">
      <c r="B42" s="7" t="s">
        <v>12</v>
      </c>
      <c r="C42" s="8">
        <v>0.65</v>
      </c>
      <c r="E42" s="7" t="s">
        <v>12</v>
      </c>
      <c r="F42" s="8">
        <v>0.65</v>
      </c>
      <c r="H42" s="7" t="s">
        <v>12</v>
      </c>
      <c r="I42" s="8">
        <v>0.65</v>
      </c>
    </row>
    <row r="43" spans="2:12" x14ac:dyDescent="0.25">
      <c r="B43" s="7" t="s">
        <v>13</v>
      </c>
      <c r="C43" s="10">
        <f>(C42-C41)/69</f>
        <v>2.1739130434782613E-3</v>
      </c>
      <c r="E43" s="7" t="s">
        <v>13</v>
      </c>
      <c r="F43" s="10">
        <f>(F42-F41)/69</f>
        <v>1.4492753623188402E-3</v>
      </c>
      <c r="H43" s="7" t="s">
        <v>13</v>
      </c>
      <c r="I43" s="10">
        <f>(I42-I41)/69</f>
        <v>7.2463768115942095E-4</v>
      </c>
    </row>
    <row r="44" spans="2:12" x14ac:dyDescent="0.25">
      <c r="B44" s="7" t="s">
        <v>14</v>
      </c>
      <c r="C44" s="12">
        <f>C43*5</f>
        <v>1.0869565217391308E-2</v>
      </c>
      <c r="E44" s="7" t="s">
        <v>14</v>
      </c>
      <c r="F44" s="12">
        <f>F43*5</f>
        <v>7.2463768115942004E-3</v>
      </c>
      <c r="H44" s="7" t="s">
        <v>14</v>
      </c>
      <c r="I44" s="12">
        <f>I43*5</f>
        <v>3.6231884057971045E-3</v>
      </c>
    </row>
    <row r="45" spans="2:12" x14ac:dyDescent="0.25">
      <c r="B45" s="7" t="s">
        <v>15</v>
      </c>
      <c r="C45" s="12">
        <f>C43*10</f>
        <v>2.1739130434782615E-2</v>
      </c>
      <c r="E45" s="7" t="s">
        <v>15</v>
      </c>
      <c r="F45" s="12">
        <f>F43*10</f>
        <v>1.4492753623188401E-2</v>
      </c>
      <c r="H45" s="7" t="s">
        <v>15</v>
      </c>
      <c r="I45" s="12">
        <f>I43*10</f>
        <v>7.2463768115942091E-3</v>
      </c>
    </row>
    <row r="46" spans="2:12" x14ac:dyDescent="0.25">
      <c r="B46" s="4" t="s">
        <v>9</v>
      </c>
      <c r="C46" s="9" t="s">
        <v>10</v>
      </c>
      <c r="E46" s="4" t="s">
        <v>9</v>
      </c>
      <c r="F46" s="9" t="s">
        <v>10</v>
      </c>
      <c r="H46" s="4" t="s">
        <v>9</v>
      </c>
      <c r="I46" s="9" t="s">
        <v>10</v>
      </c>
    </row>
    <row r="47" spans="2:12" x14ac:dyDescent="0.25">
      <c r="B47" s="6">
        <v>1</v>
      </c>
      <c r="C47" s="13">
        <f>C41</f>
        <v>0.5</v>
      </c>
      <c r="E47" s="6">
        <v>1</v>
      </c>
      <c r="F47" s="13">
        <f>F41</f>
        <v>0.55000000000000004</v>
      </c>
      <c r="H47" s="6">
        <v>1</v>
      </c>
      <c r="I47" s="13">
        <f>I41</f>
        <v>0.6</v>
      </c>
    </row>
    <row r="48" spans="2:12" x14ac:dyDescent="0.25">
      <c r="B48" s="1">
        <v>2</v>
      </c>
      <c r="C48" s="12">
        <f>C47+C$43</f>
        <v>0.50217391304347825</v>
      </c>
      <c r="E48" s="1">
        <v>2</v>
      </c>
      <c r="F48" s="12">
        <f>F47+F$43</f>
        <v>0.55144927536231891</v>
      </c>
      <c r="H48" s="1">
        <v>2</v>
      </c>
      <c r="I48" s="12">
        <f>I47+I$43</f>
        <v>0.60072463768115936</v>
      </c>
    </row>
    <row r="49" spans="2:9" x14ac:dyDescent="0.25">
      <c r="B49" s="5">
        <v>3</v>
      </c>
      <c r="C49" s="14">
        <f>C48+C$43</f>
        <v>0.5043478260869565</v>
      </c>
      <c r="E49" s="5">
        <v>3</v>
      </c>
      <c r="F49" s="14">
        <f>F48+F$43</f>
        <v>0.55289855072463778</v>
      </c>
      <c r="H49" s="5">
        <v>3</v>
      </c>
      <c r="I49" s="14">
        <f>I48+I$43</f>
        <v>0.60144927536231874</v>
      </c>
    </row>
    <row r="50" spans="2:9" x14ac:dyDescent="0.25">
      <c r="B50" s="1">
        <v>4</v>
      </c>
      <c r="C50" s="12">
        <f>C49+C$43</f>
        <v>0.50652173913043474</v>
      </c>
      <c r="E50" s="1">
        <v>4</v>
      </c>
      <c r="F50" s="12">
        <f>F49+F$43</f>
        <v>0.55434782608695665</v>
      </c>
      <c r="H50" s="1">
        <v>4</v>
      </c>
      <c r="I50" s="12">
        <f>I49+I$43</f>
        <v>0.60217391304347812</v>
      </c>
    </row>
    <row r="51" spans="2:9" x14ac:dyDescent="0.25">
      <c r="B51" s="1">
        <v>5</v>
      </c>
      <c r="C51" s="12">
        <f>C50+C$43</f>
        <v>0.50869565217391299</v>
      </c>
      <c r="E51" s="1">
        <v>5</v>
      </c>
      <c r="F51" s="12">
        <f>F50+F$43</f>
        <v>0.55579710144927552</v>
      </c>
      <c r="H51" s="1">
        <v>5</v>
      </c>
      <c r="I51" s="12">
        <f>I50+I$43</f>
        <v>0.60289855072463749</v>
      </c>
    </row>
    <row r="52" spans="2:9" x14ac:dyDescent="0.25">
      <c r="B52" s="5">
        <v>10</v>
      </c>
      <c r="C52" s="14">
        <f>C51+C$44</f>
        <v>0.51956521739130435</v>
      </c>
      <c r="E52" s="5">
        <v>10</v>
      </c>
      <c r="F52" s="14">
        <f>F51+F$44</f>
        <v>0.56304347826086976</v>
      </c>
      <c r="H52" s="5">
        <v>10</v>
      </c>
      <c r="I52" s="14">
        <f>I51+I$44</f>
        <v>0.60652173913043461</v>
      </c>
    </row>
    <row r="53" spans="2:9" x14ac:dyDescent="0.25">
      <c r="B53" s="1">
        <v>20</v>
      </c>
      <c r="C53" s="12">
        <f t="shared" ref="C53:C58" si="4">C52+C$45</f>
        <v>0.54130434782608694</v>
      </c>
      <c r="E53" s="1">
        <v>20</v>
      </c>
      <c r="F53" s="12">
        <f t="shared" ref="F53:F58" si="5">F52+F$45</f>
        <v>0.57753623188405812</v>
      </c>
      <c r="H53" s="1">
        <v>20</v>
      </c>
      <c r="I53" s="12">
        <f t="shared" ref="I53:I58" si="6">I52+I$45</f>
        <v>0.61376811594202885</v>
      </c>
    </row>
    <row r="54" spans="2:9" x14ac:dyDescent="0.25">
      <c r="B54" s="1">
        <v>30</v>
      </c>
      <c r="C54" s="12">
        <f t="shared" si="4"/>
        <v>0.56304347826086953</v>
      </c>
      <c r="E54" s="1">
        <v>30</v>
      </c>
      <c r="F54" s="12">
        <f t="shared" si="5"/>
        <v>0.59202898550724647</v>
      </c>
      <c r="H54" s="1">
        <v>30</v>
      </c>
      <c r="I54" s="12">
        <f t="shared" si="6"/>
        <v>0.62101449275362308</v>
      </c>
    </row>
    <row r="55" spans="2:9" x14ac:dyDescent="0.25">
      <c r="B55" s="1">
        <v>40</v>
      </c>
      <c r="C55" s="12">
        <f t="shared" si="4"/>
        <v>0.58478260869565213</v>
      </c>
      <c r="E55" s="1">
        <v>40</v>
      </c>
      <c r="F55" s="12">
        <f t="shared" si="5"/>
        <v>0.60652173913043483</v>
      </c>
      <c r="H55" s="1">
        <v>40</v>
      </c>
      <c r="I55" s="12">
        <f t="shared" si="6"/>
        <v>0.62826086956521732</v>
      </c>
    </row>
    <row r="56" spans="2:9" x14ac:dyDescent="0.25">
      <c r="B56" s="1">
        <v>50</v>
      </c>
      <c r="C56" s="12">
        <f t="shared" si="4"/>
        <v>0.60652173913043472</v>
      </c>
      <c r="E56" s="1">
        <v>50</v>
      </c>
      <c r="F56" s="12">
        <f t="shared" si="5"/>
        <v>0.62101449275362319</v>
      </c>
      <c r="H56" s="1">
        <v>50</v>
      </c>
      <c r="I56" s="12">
        <f t="shared" si="6"/>
        <v>0.63550724637681155</v>
      </c>
    </row>
    <row r="57" spans="2:9" x14ac:dyDescent="0.25">
      <c r="B57" s="1">
        <v>60</v>
      </c>
      <c r="C57" s="12">
        <f t="shared" si="4"/>
        <v>0.62826086956521732</v>
      </c>
      <c r="E57" s="1">
        <v>60</v>
      </c>
      <c r="F57" s="12">
        <f t="shared" si="5"/>
        <v>0.63550724637681155</v>
      </c>
      <c r="H57" s="1">
        <v>60</v>
      </c>
      <c r="I57" s="12">
        <f t="shared" si="6"/>
        <v>0.64275362318840579</v>
      </c>
    </row>
    <row r="58" spans="2:9" x14ac:dyDescent="0.25">
      <c r="B58" s="5">
        <v>70</v>
      </c>
      <c r="C58" s="14">
        <f t="shared" si="4"/>
        <v>0.64999999999999991</v>
      </c>
      <c r="E58" s="5">
        <v>70</v>
      </c>
      <c r="F58" s="14">
        <f t="shared" si="5"/>
        <v>0.64999999999999991</v>
      </c>
      <c r="H58" s="5">
        <v>70</v>
      </c>
      <c r="I58" s="14">
        <f t="shared" si="6"/>
        <v>0.65</v>
      </c>
    </row>
    <row r="61" spans="2:9" x14ac:dyDescent="0.25">
      <c r="B61" s="7" t="s">
        <v>11</v>
      </c>
      <c r="C61" s="8">
        <v>0.5</v>
      </c>
      <c r="E61" s="7" t="s">
        <v>11</v>
      </c>
      <c r="F61" s="8">
        <v>0.55000000000000004</v>
      </c>
    </row>
    <row r="62" spans="2:9" x14ac:dyDescent="0.25">
      <c r="B62" s="7" t="s">
        <v>12</v>
      </c>
      <c r="C62" s="8">
        <v>0.6</v>
      </c>
      <c r="E62" s="7" t="s">
        <v>12</v>
      </c>
      <c r="F62" s="8">
        <v>0.6</v>
      </c>
    </row>
    <row r="63" spans="2:9" x14ac:dyDescent="0.25">
      <c r="B63" s="7" t="s">
        <v>13</v>
      </c>
      <c r="C63" s="10">
        <f>(C62-C61)/69</f>
        <v>1.4492753623188402E-3</v>
      </c>
      <c r="E63" s="7" t="s">
        <v>13</v>
      </c>
      <c r="F63" s="10">
        <f>(F62-F61)/69</f>
        <v>7.2463768115941932E-4</v>
      </c>
    </row>
    <row r="64" spans="2:9" x14ac:dyDescent="0.25">
      <c r="B64" s="7" t="s">
        <v>14</v>
      </c>
      <c r="C64" s="12">
        <f>C63*5</f>
        <v>7.2463768115942004E-3</v>
      </c>
      <c r="E64" s="7" t="s">
        <v>14</v>
      </c>
      <c r="F64" s="12">
        <f>F63*5</f>
        <v>3.6231884057970967E-3</v>
      </c>
    </row>
    <row r="65" spans="2:6" x14ac:dyDescent="0.25">
      <c r="B65" s="7" t="s">
        <v>15</v>
      </c>
      <c r="C65" s="12">
        <f>C63*10</f>
        <v>1.4492753623188401E-2</v>
      </c>
      <c r="E65" s="7" t="s">
        <v>15</v>
      </c>
      <c r="F65" s="12">
        <f>F63*10</f>
        <v>7.2463768115941934E-3</v>
      </c>
    </row>
    <row r="66" spans="2:6" x14ac:dyDescent="0.25">
      <c r="B66" s="4" t="s">
        <v>9</v>
      </c>
      <c r="C66" s="9" t="s">
        <v>10</v>
      </c>
      <c r="E66" s="4" t="s">
        <v>9</v>
      </c>
      <c r="F66" s="9" t="s">
        <v>10</v>
      </c>
    </row>
    <row r="67" spans="2:6" x14ac:dyDescent="0.25">
      <c r="B67" s="6">
        <v>1</v>
      </c>
      <c r="C67" s="13">
        <f>C61</f>
        <v>0.5</v>
      </c>
      <c r="E67" s="6">
        <v>1</v>
      </c>
      <c r="F67" s="13">
        <f>F61</f>
        <v>0.55000000000000004</v>
      </c>
    </row>
    <row r="68" spans="2:6" x14ac:dyDescent="0.25">
      <c r="B68" s="1">
        <v>2</v>
      </c>
      <c r="C68" s="12">
        <f>C67+C$43</f>
        <v>0.50217391304347825</v>
      </c>
      <c r="E68" s="1">
        <v>2</v>
      </c>
      <c r="F68" s="12">
        <f>F67+F$43</f>
        <v>0.55144927536231891</v>
      </c>
    </row>
    <row r="69" spans="2:6" x14ac:dyDescent="0.25">
      <c r="B69" s="5">
        <v>3</v>
      </c>
      <c r="C69" s="14">
        <f>C68+C$43</f>
        <v>0.5043478260869565</v>
      </c>
      <c r="E69" s="5">
        <v>3</v>
      </c>
      <c r="F69" s="14">
        <f>F68+F$43</f>
        <v>0.55289855072463778</v>
      </c>
    </row>
    <row r="70" spans="2:6" x14ac:dyDescent="0.25">
      <c r="B70" s="1">
        <v>4</v>
      </c>
      <c r="C70" s="12">
        <f>C69+C$43</f>
        <v>0.50652173913043474</v>
      </c>
      <c r="E70" s="1">
        <v>4</v>
      </c>
      <c r="F70" s="12">
        <f>F69+F$43</f>
        <v>0.55434782608695665</v>
      </c>
    </row>
    <row r="71" spans="2:6" x14ac:dyDescent="0.25">
      <c r="B71" s="1">
        <v>5</v>
      </c>
      <c r="C71" s="12">
        <f>C70+C$43</f>
        <v>0.50869565217391299</v>
      </c>
      <c r="E71" s="1">
        <v>5</v>
      </c>
      <c r="F71" s="12">
        <f>F70+F$43</f>
        <v>0.55579710144927552</v>
      </c>
    </row>
    <row r="72" spans="2:6" x14ac:dyDescent="0.25">
      <c r="B72" s="5">
        <v>10</v>
      </c>
      <c r="C72" s="14">
        <f>C71+C$44</f>
        <v>0.51956521739130435</v>
      </c>
      <c r="E72" s="5">
        <v>10</v>
      </c>
      <c r="F72" s="14">
        <f>F71+F$44</f>
        <v>0.56304347826086976</v>
      </c>
    </row>
    <row r="73" spans="2:6" x14ac:dyDescent="0.25">
      <c r="B73" s="1">
        <v>20</v>
      </c>
      <c r="C73" s="12">
        <f t="shared" ref="C73:C78" si="7">C72+C$45</f>
        <v>0.54130434782608694</v>
      </c>
      <c r="E73" s="1">
        <v>20</v>
      </c>
      <c r="F73" s="12">
        <f t="shared" ref="F73:F78" si="8">F72+F$45</f>
        <v>0.57753623188405812</v>
      </c>
    </row>
    <row r="74" spans="2:6" x14ac:dyDescent="0.25">
      <c r="B74" s="1">
        <v>30</v>
      </c>
      <c r="C74" s="12">
        <f t="shared" si="7"/>
        <v>0.56304347826086953</v>
      </c>
      <c r="E74" s="1">
        <v>30</v>
      </c>
      <c r="F74" s="12">
        <f t="shared" si="8"/>
        <v>0.59202898550724647</v>
      </c>
    </row>
    <row r="75" spans="2:6" x14ac:dyDescent="0.25">
      <c r="B75" s="1">
        <v>40</v>
      </c>
      <c r="C75" s="12">
        <f t="shared" si="7"/>
        <v>0.58478260869565213</v>
      </c>
      <c r="E75" s="1">
        <v>40</v>
      </c>
      <c r="F75" s="12">
        <f t="shared" si="8"/>
        <v>0.60652173913043483</v>
      </c>
    </row>
    <row r="76" spans="2:6" x14ac:dyDescent="0.25">
      <c r="B76" s="1">
        <v>50</v>
      </c>
      <c r="C76" s="12">
        <f t="shared" si="7"/>
        <v>0.60652173913043472</v>
      </c>
      <c r="E76" s="1">
        <v>50</v>
      </c>
      <c r="F76" s="12">
        <f t="shared" si="8"/>
        <v>0.62101449275362319</v>
      </c>
    </row>
    <row r="77" spans="2:6" x14ac:dyDescent="0.25">
      <c r="B77" s="1">
        <v>60</v>
      </c>
      <c r="C77" s="12">
        <f t="shared" si="7"/>
        <v>0.62826086956521732</v>
      </c>
      <c r="E77" s="1">
        <v>60</v>
      </c>
      <c r="F77" s="12">
        <f t="shared" si="8"/>
        <v>0.63550724637681155</v>
      </c>
    </row>
    <row r="78" spans="2:6" x14ac:dyDescent="0.25">
      <c r="B78" s="5">
        <v>70</v>
      </c>
      <c r="C78" s="14">
        <f t="shared" si="7"/>
        <v>0.64999999999999991</v>
      </c>
      <c r="E78" s="5">
        <v>70</v>
      </c>
      <c r="F78" s="14">
        <f t="shared" si="8"/>
        <v>0.64999999999999991</v>
      </c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r-zeta (2)</vt:lpstr>
      <vt:lpstr>rzeta_targetnu_dips_mid</vt:lpstr>
      <vt:lpstr>r-zeta</vt:lpstr>
      <vt:lpstr>curve_rzeta_targetnu_2.5</vt:lpstr>
      <vt:lpstr>curve_rzeta_targetnu_add_2.5</vt:lpstr>
      <vt:lpstr>curve_rzeta_targetnu (2)</vt:lpstr>
      <vt:lpstr>curve_rzeta_targetnu_add_dr (2)</vt:lpstr>
      <vt:lpstr>old_linear_rzeta_targetnu</vt:lpstr>
      <vt:lpstr>Sheet2</vt:lpstr>
      <vt:lpstr>Sheet3</vt:lpstr>
      <vt:lpstr>'curve_rzeta_targetnu (2)'!Print_Area</vt:lpstr>
      <vt:lpstr>curve_rzeta_targetnu_2.5!Print_Area</vt:lpstr>
      <vt:lpstr>curve_rzeta_targetnu_add_2.5!Print_Area</vt:lpstr>
      <vt:lpstr>'curve_rzeta_targetnu_add_dr (2)'!Print_Area</vt:lpstr>
      <vt:lpstr>old_linear_rzeta_targetnu!Print_Area</vt:lpstr>
      <vt:lpstr>rzeta_targetnu_dips_mid!Print_Area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hp1010</dc:creator>
  <cp:lastModifiedBy>Kevin Stillwell</cp:lastModifiedBy>
  <cp:lastPrinted>2022-05-24T20:55:59Z</cp:lastPrinted>
  <dcterms:created xsi:type="dcterms:W3CDTF">2019-10-05T23:40:43Z</dcterms:created>
  <dcterms:modified xsi:type="dcterms:W3CDTF">2024-02-01T08:39:43Z</dcterms:modified>
</cp:coreProperties>
</file>